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ervera\Licitacoes\2026 - LICITAÇÕES\PREGÃO PRESENCIAL\PREGÃO PRESENCIAL Nº004-206 TRANSPORTE ESCOLAR\PLANILHA DE CUSTOS\"/>
    </mc:Choice>
  </mc:AlternateContent>
  <xr:revisionPtr revIDLastSave="0" documentId="13_ncr:1_{56EDFE7C-3FDA-42EA-8C65-1CB55F077FB9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CAGED" sheetId="3" r:id="rId1"/>
    <sheet name="Encargos" sheetId="4" r:id="rId2"/>
    <sheet name="Mão de obra" sheetId="5" r:id="rId3"/>
    <sheet name="Remuneração de capital" sheetId="6" r:id="rId4"/>
    <sheet name="Impostos e manutenção" sheetId="7" r:id="rId5"/>
    <sheet name="BDI" sheetId="8" r:id="rId6"/>
    <sheet name="Composição de custos" sheetId="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C17" i="3" l="1"/>
  <c r="D26" i="7" l="1"/>
  <c r="C39" i="7"/>
  <c r="D18" i="7"/>
  <c r="D25" i="6"/>
  <c r="C32" i="7"/>
  <c r="C55" i="5"/>
  <c r="C45" i="5"/>
  <c r="D12" i="6" l="1"/>
  <c r="C4" i="6"/>
  <c r="E17" i="5" l="1"/>
  <c r="E25" i="6" l="1"/>
  <c r="C14" i="6"/>
  <c r="C13" i="6"/>
  <c r="C16" i="6" s="1"/>
  <c r="E12" i="6"/>
  <c r="D15" i="6" l="1"/>
  <c r="E15" i="6" s="1"/>
  <c r="D16" i="6"/>
  <c r="E16" i="6" s="1"/>
  <c r="E17" i="6" s="1"/>
  <c r="D18" i="6" l="1"/>
  <c r="E18" i="6" s="1"/>
  <c r="C6" i="8" l="1"/>
  <c r="C11" i="8" s="1"/>
  <c r="C19" i="8" s="1"/>
  <c r="B1" i="7"/>
  <c r="E10" i="7" s="1"/>
  <c r="C8" i="7"/>
  <c r="E8" i="7" s="1"/>
  <c r="C7" i="7"/>
  <c r="C6" i="7"/>
  <c r="E6" i="7" s="1"/>
  <c r="C41" i="7"/>
  <c r="E39" i="7"/>
  <c r="E37" i="7"/>
  <c r="D24" i="7"/>
  <c r="D22" i="7"/>
  <c r="D20" i="7"/>
  <c r="C18" i="7"/>
  <c r="C26" i="7" s="1"/>
  <c r="E7" i="7"/>
  <c r="C8" i="6"/>
  <c r="D27" i="7" l="1"/>
  <c r="E26" i="7"/>
  <c r="F7" i="7"/>
  <c r="F8" i="7"/>
  <c r="F6" i="7"/>
  <c r="E32" i="6"/>
  <c r="E19" i="6"/>
  <c r="F19" i="6" s="1"/>
  <c r="B10" i="2" s="1"/>
  <c r="D9" i="7"/>
  <c r="E9" i="7" s="1"/>
  <c r="F10" i="7" s="1"/>
  <c r="D40" i="7"/>
  <c r="E40" i="7" s="1"/>
  <c r="C20" i="7"/>
  <c r="E20" i="7" s="1"/>
  <c r="C24" i="7"/>
  <c r="E24" i="7" s="1"/>
  <c r="E32" i="7"/>
  <c r="F33" i="7" s="1"/>
  <c r="B14" i="2" s="1"/>
  <c r="E18" i="7"/>
  <c r="C22" i="7"/>
  <c r="E22" i="7" s="1"/>
  <c r="D41" i="7" l="1"/>
  <c r="E41" i="7" s="1"/>
  <c r="F42" i="7" s="1"/>
  <c r="B15" i="2" s="1"/>
  <c r="F28" i="7"/>
  <c r="B13" i="2" s="1"/>
  <c r="B12" i="2"/>
  <c r="C7" i="6"/>
  <c r="E56" i="5"/>
  <c r="C28" i="6" l="1"/>
  <c r="D29" i="6" s="1"/>
  <c r="E29" i="6" s="1"/>
  <c r="E30" i="6" s="1"/>
  <c r="D31" i="6" s="1"/>
  <c r="E31" i="6" s="1"/>
  <c r="F32" i="6" s="1"/>
  <c r="B11" i="2" s="1"/>
  <c r="B9" i="2" s="1"/>
  <c r="C27" i="6"/>
  <c r="F44" i="7"/>
  <c r="E38" i="5"/>
  <c r="E55" i="5"/>
  <c r="E50" i="5"/>
  <c r="F51" i="5" s="1"/>
  <c r="B7" i="2" s="1"/>
  <c r="A50" i="5"/>
  <c r="A55" i="5" s="1"/>
  <c r="C33" i="5"/>
  <c r="C30" i="5"/>
  <c r="C27" i="5"/>
  <c r="C24" i="5"/>
  <c r="D22" i="5"/>
  <c r="D28" i="5"/>
  <c r="E28" i="5" s="1"/>
  <c r="D9" i="5"/>
  <c r="E9" i="5" s="1"/>
  <c r="D8" i="5"/>
  <c r="E8" i="5" s="1"/>
  <c r="E6" i="5"/>
  <c r="D45" i="5" s="1"/>
  <c r="D10" i="5" l="1"/>
  <c r="E10" i="5" s="1"/>
  <c r="E45" i="5"/>
  <c r="F46" i="5" s="1"/>
  <c r="B6" i="2" s="1"/>
  <c r="F56" i="5"/>
  <c r="D24" i="5"/>
  <c r="E24" i="5" s="1"/>
  <c r="D25" i="5"/>
  <c r="E25" i="5" s="1"/>
  <c r="D30" i="5"/>
  <c r="E30" i="5" s="1"/>
  <c r="E21" i="5"/>
  <c r="D27" i="5"/>
  <c r="E27" i="5" s="1"/>
  <c r="D12" i="5" l="1"/>
  <c r="E12" i="5" s="1"/>
  <c r="E13" i="5" s="1"/>
  <c r="D14" i="5" s="1"/>
  <c r="B8" i="2"/>
  <c r="D31" i="5"/>
  <c r="E31" i="5" s="1"/>
  <c r="D33" i="5" l="1"/>
  <c r="E33" i="5" s="1"/>
  <c r="E34" i="5" s="1"/>
  <c r="D35" i="5" s="1"/>
  <c r="C11" i="4" l="1"/>
  <c r="C19" i="3"/>
  <c r="C25" i="4" l="1"/>
  <c r="C21" i="4" l="1"/>
  <c r="C29" i="4" s="1"/>
  <c r="C19" i="4"/>
  <c r="C28" i="4" s="1"/>
  <c r="C30" i="4" s="1"/>
  <c r="C26" i="4" l="1"/>
  <c r="C31" i="4" s="1"/>
  <c r="C35" i="5" l="1"/>
  <c r="E35" i="5" s="1"/>
  <c r="E36" i="5" s="1"/>
  <c r="D37" i="5" s="1"/>
  <c r="E37" i="5" s="1"/>
  <c r="F38" i="5" s="1"/>
  <c r="B5" i="2" s="1"/>
  <c r="C14" i="5"/>
  <c r="E14" i="5" s="1"/>
  <c r="E15" i="5" s="1"/>
  <c r="D16" i="5" s="1"/>
  <c r="E16" i="5" s="1"/>
  <c r="F17" i="5" s="1"/>
  <c r="B4" i="2" s="1"/>
  <c r="F59" i="5" l="1"/>
  <c r="F15" i="8" s="1"/>
  <c r="D19" i="8" s="1"/>
  <c r="E19" i="8" s="1"/>
  <c r="F20" i="8" s="1"/>
  <c r="F22" i="8" s="1"/>
  <c r="B16" i="2" s="1"/>
  <c r="B3" i="2"/>
  <c r="B17" i="2" l="1"/>
  <c r="C5" i="2" s="1"/>
  <c r="C8" i="2" l="1"/>
  <c r="C14" i="2"/>
  <c r="C11" i="2"/>
  <c r="C16" i="2"/>
  <c r="C7" i="2"/>
  <c r="C4" i="2"/>
  <c r="C12" i="2"/>
  <c r="C9" i="2"/>
  <c r="C3" i="2"/>
  <c r="C21" i="2"/>
  <c r="C10" i="2"/>
  <c r="C15" i="2"/>
  <c r="C13" i="2"/>
  <c r="C6" i="2"/>
  <c r="C25" i="2" l="1"/>
  <c r="C24" i="2"/>
  <c r="C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Preencher somente os campos em verde.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B1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Obrigações obrigatórias por Lei que incidem sobre a folha</t>
        </r>
      </text>
    </comment>
    <comment ref="C15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C16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C17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C18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B19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Corresponde aos encargos sobre valores pagos aos trabalhadores
como salário em dias em que não há prestação de serviços</t>
        </r>
      </text>
    </comment>
    <comment ref="B26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Encargos sobre valores pagos aos
empregados, mas que não sofrem incidência direta dos encargos do Grupo A</t>
        </r>
      </text>
    </comment>
    <comment ref="B30" authorId="0" shapeId="0" xr:uid="{00000000-0006-0000-0100-000008000000}">
      <text>
        <r>
          <rPr>
            <b/>
            <sz val="9"/>
            <color indexed="81"/>
            <rFont val="Tahoma"/>
            <charset val="1"/>
          </rPr>
          <t>Corresponde ao percentual de encargos sociais originado da
reincidência de um encargo ou grupo de encargos sobre outro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  <author>Clauber Bridi</author>
  </authors>
  <commentList>
    <comment ref="A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É o percentual referente ao tempo em que os equipamentos, veículos e mão de obra ficam envolvidos com a prestação dos serviços contratados. É calculado em função das horas trabalhadas por semana no cumprimento do contrato.</t>
        </r>
      </text>
    </comment>
    <comment ref="B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horas. Ex. 16/44=0,3636 * 100 = 36,36%</t>
        </r>
      </text>
    </comment>
    <comment ref="D6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Informar o valor do salário Mínimo Nacional</t>
        </r>
      </text>
    </comment>
    <comment ref="C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Informar o número de horas extras trabalhadas em horário diurno de segunda a sábado </t>
        </r>
      </text>
    </comment>
    <comment ref="A10" authorId="1" shapeId="0" xr:uid="{00000000-0006-0000-0200-000007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</t>
        </r>
      </text>
    </comment>
    <comment ref="C1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14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6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Informar a quantidade de trabalhadores na função</t>
        </r>
      </text>
    </comment>
    <comment ref="C23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25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26" authorId="0" shapeId="0" xr:uid="{00000000-0006-0000-0200-00000E000000}">
      <text>
        <r>
          <rPr>
            <b/>
            <sz val="8"/>
            <color indexed="81"/>
            <rFont val="Tahoma"/>
            <family val="2"/>
          </rPr>
          <t>Informar o número de horas extras trabalhadas em horário noturno (das 22:00h as 5h) nos domingos e feriados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28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29" authorId="0" shapeId="0" xr:uid="{00000000-0006-0000-0200-000010000000}">
      <text>
        <r>
          <rPr>
            <b/>
            <sz val="8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31" authorId="1" shapeId="0" xr:uid="{00000000-0006-0000-0200-000011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</t>
        </r>
      </text>
    </comment>
    <comment ref="C35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37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Informar a quantidade de trabalhadores na função</t>
        </r>
      </text>
    </comment>
    <comment ref="D43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Informar o valor unitário do VT no município</t>
        </r>
      </text>
    </comment>
    <comment ref="C44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Informar o número médio de dias trabalhados por mês</t>
        </r>
      </text>
    </comment>
    <comment ref="D45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50" authorId="0" shapeId="0" xr:uid="{00000000-0006-0000-0200-000018000000}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55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C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Informar o valor do veículo novo. Admitido a utilização da tabela FIPE
</t>
        </r>
      </text>
    </comment>
    <comment ref="C3" authorId="0" shapeId="0" xr:uid="{00000000-0006-0000-0300-000002000000}">
      <text>
        <r>
          <rPr>
            <sz val="9"/>
            <color indexed="81"/>
            <rFont val="Tahoma"/>
            <family val="2"/>
          </rPr>
          <t>Informar a vida útil estimada para o veículo, em anos</t>
        </r>
      </text>
    </comment>
    <comment ref="C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Informar o valor residual estimado</t>
        </r>
      </text>
    </comment>
    <comment ref="C6" authorId="0" shapeId="0" xr:uid="{00000000-0006-0000-0300-000004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 xml:space="preserve">Informar a quantidade de veículos do respectivo modelo
</t>
        </r>
      </text>
    </comment>
    <comment ref="C2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 xml:space="preserve">Informar a taxa de juros anual para remuneração do capital. Recomenda-se o uso da Taxa SELIC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D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Informar o valor do seguro obrigatório e licenciamento anual do veículo</t>
        </r>
      </text>
    </comment>
    <comment ref="A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Apenas quando exigida a contratação no Edital</t>
        </r>
      </text>
    </comment>
    <comment ref="D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Informar o valor do seguro contra terceiros de um veículo, se houver previsão no Projeto Básico</t>
        </r>
      </text>
    </comment>
    <comment ref="B1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Informar a quilometragem mensal percorrida, de acordo com o projeto básico</t>
        </r>
      </text>
    </comment>
    <comment ref="C17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Informar o consumo estimado do veículo em km/l</t>
        </r>
      </text>
    </comment>
    <comment ref="D17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Informar o preço unitário do combustivel</t>
        </r>
      </text>
    </comment>
    <comment ref="C19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Informar o consumo de óleo do motor a cada 1000km</t>
        </r>
      </text>
    </comment>
    <comment ref="D19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Informar o preço unitário do litro do óleo do motor</t>
        </r>
      </text>
    </comment>
    <comment ref="C21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1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Informar o preço unitário do litro do óleo da transmissão</t>
        </r>
      </text>
    </comment>
    <comment ref="C23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Informar o consumo de óleo hidráulico a cada 1000km</t>
        </r>
      </text>
    </comment>
    <comment ref="D23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Informar o preço unitário do litro do óleo hidráulico</t>
        </r>
      </text>
    </comment>
    <comment ref="C25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Informar o consumo de graxa a cada 1000km</t>
        </r>
      </text>
    </comment>
    <comment ref="D25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Informar o preço unitário do litro da graxa</t>
        </r>
      </text>
    </comment>
    <comment ref="D32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Informar o custo de manutenção em R$/km rodado</t>
        </r>
      </text>
    </comment>
    <comment ref="C37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Informar a quantidade de pneus novos de 1 veículo</t>
        </r>
      </text>
    </comment>
    <comment ref="D37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Informar o preço unitário de cada pneu</t>
        </r>
      </text>
    </comment>
    <comment ref="C38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Informar o número de recapagens por pneu de acordo com Resolução Contran 445/2013.</t>
        </r>
      </text>
    </comment>
    <comment ref="D39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Informar o preço unitário de cada recapagem</t>
        </r>
      </text>
    </comment>
    <comment ref="C40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Informar a durabilidade média dos pneus considerando as recapagens, em km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A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Não devem incluir IRPJ ou CSLL conforme jurisprudência do TCU</t>
        </r>
      </text>
    </comment>
    <comment ref="C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</text>
    </comment>
    <comment ref="C4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 xml:space="preserve">Informar o % de Seguros, Riscos e Garantia estimado
</t>
        </r>
      </text>
    </comment>
    <comment ref="C5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Informar o % de Lucro estimado
</t>
        </r>
      </text>
    </comment>
    <comment ref="E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7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</text>
    </comment>
    <comment ref="E7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</text>
    </comment>
    <comment ref="C8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Informar o valor estimado de PIS/COFINS. 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sharedStrings.xml><?xml version="1.0" encoding="utf-8"?>
<sst xmlns="http://schemas.openxmlformats.org/spreadsheetml/2006/main" count="366" uniqueCount="226">
  <si>
    <t>unidade</t>
  </si>
  <si>
    <t>R$</t>
  </si>
  <si>
    <t>anos</t>
  </si>
  <si>
    <t>km/l</t>
  </si>
  <si>
    <t>km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</si>
  <si>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</si>
  <si>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</si>
  <si>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</si>
  <si>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</si>
  <si>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</si>
  <si>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</si>
  <si>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</si>
  <si>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</si>
  <si>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</si>
  <si>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</si>
  <si>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>Acordo</t>
  </si>
  <si>
    <t>Indicadores</t>
  </si>
  <si>
    <t>Estoque Médio</t>
  </si>
  <si>
    <t>% Demitidos s/ Justa Causa em relação ao Estoque Médio</t>
  </si>
  <si>
    <t>Taxa de Rotatividade</t>
  </si>
  <si>
    <t>Rotatividade temporal (meses)</t>
  </si>
  <si>
    <t>Dias ano</t>
  </si>
  <si>
    <t>1/3 de férias (dias)</t>
  </si>
  <si>
    <t>Férias (dias)</t>
  </si>
  <si>
    <t>13º Salário (dias)</t>
  </si>
  <si>
    <t>Dias de Aviso prévio</t>
  </si>
  <si>
    <t>FGTS</t>
  </si>
  <si>
    <t>Multa FGTS</t>
  </si>
  <si>
    <t>Variação Emprego Absoluta de 01-12-2018 a 30-11-2019</t>
  </si>
  <si>
    <t xml:space="preserve">2. Composição dos Encargos Sociais </t>
  </si>
  <si>
    <t>Código</t>
  </si>
  <si>
    <t>Descrição</t>
  </si>
  <si>
    <t>Valor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</si>
  <si>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</si>
  <si>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</si>
  <si>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</si>
  <si>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</si>
  <si>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</si>
  <si>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</si>
  <si>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</si>
  <si>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</si>
  <si>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</si>
  <si>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</si>
  <si>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</si>
  <si>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</si>
  <si>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</si>
  <si>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</si>
  <si>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</si>
  <si>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</si>
  <si>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</si>
  <si>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</si>
  <si>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</si>
  <si>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</si>
  <si>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</si>
  <si>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B3</t>
  </si>
  <si>
    <t>Licença Paternidade</t>
  </si>
  <si>
    <t>B4</t>
  </si>
  <si>
    <t>Faltas justificadas</t>
  </si>
  <si>
    <t>B5</t>
  </si>
  <si>
    <t>Auxilio acidente de trabalho</t>
  </si>
  <si>
    <t>B6</t>
  </si>
  <si>
    <t>Auxilio doença</t>
  </si>
  <si>
    <t>B</t>
  </si>
  <si>
    <t>SOMA GRUPO B</t>
  </si>
  <si>
    <t>C1</t>
  </si>
  <si>
    <t>Aviso prévio indenizado</t>
  </si>
  <si>
    <t>C2</t>
  </si>
  <si>
    <t xml:space="preserve">Férias indenizadas </t>
  </si>
  <si>
    <t>C3</t>
  </si>
  <si>
    <t>Férias indenizadas s/ aviso previo inden.</t>
  </si>
  <si>
    <t>C4</t>
  </si>
  <si>
    <t>Depósito rescisão sem justa causa</t>
  </si>
  <si>
    <t>C5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</si>
  <si>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</si>
  <si>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</si>
  <si>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</si>
  <si>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</si>
  <si>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</si>
  <si>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</si>
  <si>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FGTS sobre aviso prévio indenizado</t>
  </si>
  <si>
    <t>D</t>
  </si>
  <si>
    <t>SOMA GRUPO D</t>
  </si>
  <si>
    <t>SOMA (A+B+C+D)</t>
  </si>
  <si>
    <t>1. Mão-de-obra</t>
  </si>
  <si>
    <t>Discriminação</t>
  </si>
  <si>
    <t>Unidade</t>
  </si>
  <si>
    <t>Quantidade</t>
  </si>
  <si>
    <t>Custo unitário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</si>
  <si>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</si>
  <si>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</si>
  <si>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mês</t>
  </si>
  <si>
    <t>Horas Extras (100%)</t>
  </si>
  <si>
    <t>hora</t>
  </si>
  <si>
    <t>Horas Extras (50%)</t>
  </si>
  <si>
    <t>Descanso Semanal Remunerado (DSR) - hora extra</t>
  </si>
  <si>
    <t>Adicional de Insalubridade</t>
  </si>
  <si>
    <t>%</t>
  </si>
  <si>
    <t>Soma</t>
  </si>
  <si>
    <t>Encargos Sociais</t>
  </si>
  <si>
    <t>Total do Efetivo</t>
  </si>
  <si>
    <t>homem</t>
  </si>
  <si>
    <t>Fator de utilização</t>
  </si>
  <si>
    <t>Adicional Noturno</t>
  </si>
  <si>
    <t>horas trabalhadas</t>
  </si>
  <si>
    <t>hora contabilizada</t>
  </si>
  <si>
    <t>Horas Extras Noturnas (100%)</t>
  </si>
  <si>
    <t>Horas Extras Noturnas (50%)</t>
  </si>
  <si>
    <t>Piso da categoria (2)</t>
  </si>
  <si>
    <t>Salário mínimo nacional (1)</t>
  </si>
  <si>
    <t>Base de cálculo da Insalubridade</t>
  </si>
  <si>
    <t>Total por Motorista</t>
  </si>
  <si>
    <t>Vale Transporte</t>
  </si>
  <si>
    <t>Dias Trabalhados por mês</t>
  </si>
  <si>
    <t>dia</t>
  </si>
  <si>
    <t>vale</t>
  </si>
  <si>
    <t>Motorista</t>
  </si>
  <si>
    <t>Fator de utilização (FU)</t>
  </si>
  <si>
    <t>Custo do chassis</t>
  </si>
  <si>
    <t>Taxa de juros anual nominal</t>
  </si>
  <si>
    <t>Remuneração mensal de capital do chassis</t>
  </si>
  <si>
    <t>Total por veículo</t>
  </si>
  <si>
    <t>Total da frota</t>
  </si>
  <si>
    <t>*valor do veículo proposto (para veículos usados) devem considerar o valor do bem depreciado até a data da proposta.</t>
  </si>
  <si>
    <t>Valor do veículo proposto (V0)*</t>
  </si>
  <si>
    <t>Vida útil estimada</t>
  </si>
  <si>
    <t>Valor residual</t>
  </si>
  <si>
    <t>% de depreciação</t>
  </si>
  <si>
    <t>Depreciação acumulada</t>
  </si>
  <si>
    <t>Vida útil utilizada (idade do veículo)</t>
  </si>
  <si>
    <t>Dados de Depreciação</t>
  </si>
  <si>
    <t>Investimento médio</t>
  </si>
  <si>
    <t>IPVA</t>
  </si>
  <si>
    <t>Licenciamento e Seguro obrigatório</t>
  </si>
  <si>
    <t>Seguro contra terceiros</t>
  </si>
  <si>
    <t>Impostos e seguros mensais</t>
  </si>
  <si>
    <t>Quilometragem mensal</t>
  </si>
  <si>
    <t>Consumo</t>
  </si>
  <si>
    <t>Custo de óleo diesel / km rodado</t>
  </si>
  <si>
    <t>Custo mensal com óleo diesel</t>
  </si>
  <si>
    <t>Custo de óleo do motor /1.000 km rodados</t>
  </si>
  <si>
    <t>l/1.000 km</t>
  </si>
  <si>
    <t>Custo mensal com óleo do motor</t>
  </si>
  <si>
    <t>Custo de óleo da transmissão /1.000 km</t>
  </si>
  <si>
    <t>Custo mensal com óleo da transmissão</t>
  </si>
  <si>
    <t>Custo de óleo hidráulico / 1.000 km</t>
  </si>
  <si>
    <t>Custo mensal com óleo hidráulico</t>
  </si>
  <si>
    <t>Custo de graxa /1.000 km rodados</t>
  </si>
  <si>
    <t>kg/1.000 km</t>
  </si>
  <si>
    <t>Custo mensal com graxa</t>
  </si>
  <si>
    <t>Custo com consumos/km rodado</t>
  </si>
  <si>
    <t>R$/km rodado</t>
  </si>
  <si>
    <t>Número de recapagens por pneu</t>
  </si>
  <si>
    <t>Custo de recapagem</t>
  </si>
  <si>
    <r>
      <t xml:space="preserve">Custo jg. compl. + </t>
    </r>
    <r>
      <rPr>
        <sz val="10"/>
        <color indexed="10"/>
        <rFont val="Arial"/>
        <family val="2"/>
      </rPr>
      <t>X</t>
    </r>
    <r>
      <rPr>
        <sz val="10"/>
        <rFont val="Arial"/>
        <family val="2"/>
      </rPr>
      <t xml:space="preserve"> recap./ km rodado</t>
    </r>
  </si>
  <si>
    <t>km/jogo</t>
  </si>
  <si>
    <t>Custo mensal com pneus</t>
  </si>
  <si>
    <t>Custo de manutenção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</si>
  <si>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</si>
  <si>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</si>
  <si>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</si>
  <si>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</si>
  <si>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</si>
  <si>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</si>
  <si>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</si>
  <si>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</si>
  <si>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</si>
  <si>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</si>
  <si>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</si>
  <si>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</si>
  <si>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</si>
  <si>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</si>
  <si>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</si>
  <si>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</si>
  <si>
    <t>Custo (R$/mês)</t>
  </si>
  <si>
    <t>Idade do veículo</t>
  </si>
  <si>
    <t>Depreciação do chassis</t>
  </si>
  <si>
    <t>Vida útil</t>
  </si>
  <si>
    <t>Valor do inicial veículo</t>
  </si>
  <si>
    <t>Custo de aquisição (valor inicial)</t>
  </si>
  <si>
    <t>R$/mês</t>
  </si>
  <si>
    <t>CUSTO TOTAL MÃO-DE-OBRA</t>
  </si>
  <si>
    <t>CUSTO TOTAL DE IMPOSTOS E MANUTENÇÃO</t>
  </si>
  <si>
    <t>CUSTO TOTAL MENSAL COM DESPESAS OPERACIONAIS</t>
  </si>
  <si>
    <t>Benefícios e despesas indiretas</t>
  </si>
  <si>
    <t>CUSTO MENSAL COM BDI (R$/mês)</t>
  </si>
  <si>
    <t>Rio Grande do Sul  - Transporte Escolar - CNAE 49248</t>
  </si>
  <si>
    <t>Depreciação mensal veículos</t>
  </si>
  <si>
    <t>1.1. Motorista dia</t>
  </si>
  <si>
    <t>1.2. Motorista noite</t>
  </si>
  <si>
    <t>1.3. Vale transporte</t>
  </si>
  <si>
    <t>1.4. Vale Refeição (diário)</t>
  </si>
  <si>
    <t>1.5. Auxílio alimentção (mensal)</t>
  </si>
  <si>
    <t>2. Veículos</t>
  </si>
  <si>
    <t>2.1. Depreciação</t>
  </si>
  <si>
    <t>2.2. Remuneração de capital</t>
  </si>
  <si>
    <t>2.3. Impostos e seguros</t>
  </si>
  <si>
    <t>2.4. Consumos</t>
  </si>
  <si>
    <t>2.5. Manutenção</t>
  </si>
  <si>
    <t>2.6. Pneus</t>
  </si>
  <si>
    <t>3. BDI</t>
  </si>
  <si>
    <t>PREÇO TOTAL MENSAL (1+2+3)</t>
  </si>
  <si>
    <t>1. CAGED</t>
  </si>
  <si>
    <t>3. Composição da mão-de-obra</t>
  </si>
  <si>
    <t>3.1. Motorista Turno do Dia</t>
  </si>
  <si>
    <t>3.3. Vale Transporte</t>
  </si>
  <si>
    <t>3.4. Vale-refeição (diário)</t>
  </si>
  <si>
    <t>3.5. Auxílio Alimentação (mensal)</t>
  </si>
  <si>
    <t>5. Impostos e manutenção</t>
  </si>
  <si>
    <t>5.1. Impostos e Seguros</t>
  </si>
  <si>
    <t>5.2. Consumos</t>
  </si>
  <si>
    <t>5.3. Manutenção preventiva e corretiva</t>
  </si>
  <si>
    <t>5.4. Pneus</t>
  </si>
  <si>
    <t>6. Composição do BDI - Benefícios e Despesas Indiretas</t>
  </si>
  <si>
    <t>6.1. Benefícios e Despesas Indiretas - BDI</t>
  </si>
  <si>
    <t>7. Transporte Escolar - Planilha de composição de custos</t>
  </si>
  <si>
    <t>4. Depreciação e Remuneração de Capital</t>
  </si>
  <si>
    <t>4.1. Depreciação</t>
  </si>
  <si>
    <t>4.2. Remuneração do Capital</t>
  </si>
  <si>
    <t>PREÇO POR KM RODADO</t>
  </si>
  <si>
    <t>Quilometragem total mês</t>
  </si>
  <si>
    <t>Custo do jogo de pneus</t>
  </si>
  <si>
    <t>Estoque recuperado início do Período 01-01-2019</t>
  </si>
  <si>
    <t>Estoque recuperado final do Período 31-12-2019</t>
  </si>
  <si>
    <t>valor Mensal</t>
  </si>
  <si>
    <t>Valor Anual</t>
  </si>
  <si>
    <t>3.2. 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</si>
</sst>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00_-;\-* #,##0.0000_-;_-* &quot;-&quot;????_-;_-@_-"/>
    <numFmt numFmtId="165" formatCode="_(* #,##0.00_);_(* \(#,##0.00\);_(* &quot;-&quot;??_);_(@_)"/>
    <numFmt numFmtId="166" formatCode="0.0000"/>
    <numFmt numFmtId="167" formatCode="_(* #,##0_);_(* \(#,##0\);_(* &quot;-&quot;??_);_(@_)"/>
    <numFmt numFmtId="168" formatCode="_(* #,##0.000_);_(* \(#,##0.000\);_(* &quot;-&quot;??_);_(@_)"/>
    <numFmt numFmtId="169" formatCode="_-* #,##0.00_-;\-* #,##0.00_-;_-* &quot;-&quot;????_-;_-@_-"/>
    <numFmt numFmtId="170" formatCode="#,##0.0"/>
    <numFmt numFmtId="171" formatCode="_-* #,##0_-;\-* #,##0_-;_-* &quot;-&quot;??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charset val="1"/>
    </font>
    <font>
      <b/>
      <sz val="14"/>
      <color theme="1"/>
      <name val="Arial"/>
      <family val="2"/>
    </font>
    <font>
      <b/>
      <u/>
      <sz val="1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sz val="10"/>
      <color theme="6" tint="-0.2499771111178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213">
    <xf numFmtId="0" fontId="0" fillId="0" borderId="0" xfId="0"/>
    <xf numFmtId="4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8" fillId="0" borderId="3" xfId="2" applyFont="1" applyBorder="1"/>
    <xf numFmtId="0" fontId="8" fillId="0" borderId="18" xfId="2" applyFont="1" applyBorder="1"/>
    <xf numFmtId="0" fontId="8" fillId="0" borderId="9" xfId="2" applyFont="1" applyBorder="1"/>
    <xf numFmtId="0" fontId="8" fillId="0" borderId="19" xfId="2" applyFont="1" applyBorder="1"/>
    <xf numFmtId="0" fontId="8" fillId="0" borderId="6" xfId="2" applyFont="1" applyBorder="1"/>
    <xf numFmtId="0" fontId="8" fillId="0" borderId="11" xfId="2" applyFont="1" applyBorder="1"/>
    <xf numFmtId="0" fontId="5" fillId="0" borderId="4" xfId="2" applyFont="1" applyBorder="1"/>
    <xf numFmtId="0" fontId="5" fillId="0" borderId="9" xfId="2" applyFont="1" applyBorder="1"/>
    <xf numFmtId="0" fontId="5" fillId="0" borderId="18" xfId="2" applyFont="1" applyBorder="1"/>
    <xf numFmtId="0" fontId="5" fillId="0" borderId="20" xfId="2" applyFont="1" applyBorder="1"/>
    <xf numFmtId="0" fontId="5" fillId="0" borderId="15" xfId="2" applyFont="1" applyBorder="1"/>
    <xf numFmtId="0" fontId="5" fillId="0" borderId="16" xfId="2" applyFont="1" applyBorder="1"/>
    <xf numFmtId="0" fontId="6" fillId="0" borderId="19" xfId="2" applyFont="1" applyBorder="1"/>
    <xf numFmtId="166" fontId="6" fillId="0" borderId="6" xfId="2" applyNumberFormat="1" applyFont="1" applyBorder="1"/>
    <xf numFmtId="9" fontId="8" fillId="0" borderId="6" xfId="3" applyFont="1" applyBorder="1"/>
    <xf numFmtId="10" fontId="8" fillId="0" borderId="6" xfId="3" applyNumberFormat="1" applyFont="1" applyBorder="1"/>
    <xf numFmtId="9" fontId="6" fillId="0" borderId="12" xfId="3" applyFont="1" applyBorder="1"/>
    <xf numFmtId="0" fontId="5" fillId="0" borderId="22" xfId="2" applyFont="1" applyBorder="1"/>
    <xf numFmtId="0" fontId="9" fillId="0" borderId="9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10" fontId="9" fillId="0" borderId="6" xfId="2" applyNumberFormat="1" applyFont="1" applyBorder="1" applyAlignment="1">
      <alignment horizontal="right" vertical="center"/>
    </xf>
    <xf numFmtId="10" fontId="10" fillId="0" borderId="6" xfId="2" applyNumberFormat="1" applyFont="1" applyBorder="1" applyAlignment="1">
      <alignment horizontal="right" vertical="center"/>
    </xf>
    <xf numFmtId="0" fontId="9" fillId="2" borderId="9" xfId="2" applyFont="1" applyFill="1" applyBorder="1" applyAlignment="1">
      <alignment horizontal="left" vertical="center"/>
    </xf>
    <xf numFmtId="0" fontId="10" fillId="2" borderId="1" xfId="2" applyFont="1" applyFill="1" applyBorder="1" applyAlignment="1">
      <alignment horizontal="left" vertical="center"/>
    </xf>
    <xf numFmtId="10" fontId="10" fillId="2" borderId="6" xfId="2" applyNumberFormat="1" applyFont="1" applyFill="1" applyBorder="1" applyAlignment="1">
      <alignment horizontal="right" vertical="center"/>
    </xf>
    <xf numFmtId="0" fontId="11" fillId="0" borderId="1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 wrapText="1"/>
    </xf>
    <xf numFmtId="0" fontId="9" fillId="4" borderId="10" xfId="2" applyFont="1" applyFill="1" applyBorder="1" applyAlignment="1">
      <alignment horizontal="left" vertical="center"/>
    </xf>
    <xf numFmtId="0" fontId="10" fillId="4" borderId="13" xfId="2" applyFont="1" applyFill="1" applyBorder="1" applyAlignment="1">
      <alignment horizontal="left" vertical="center"/>
    </xf>
    <xf numFmtId="10" fontId="10" fillId="4" borderId="14" xfId="2" applyNumberFormat="1" applyFont="1" applyFill="1" applyBorder="1" applyAlignment="1">
      <alignment horizontal="right" vertical="center"/>
    </xf>
    <xf numFmtId="0" fontId="13" fillId="6" borderId="23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165" fontId="13" fillId="6" borderId="24" xfId="4" applyFont="1" applyFill="1" applyBorder="1" applyAlignment="1">
      <alignment horizontal="center" vertical="center"/>
    </xf>
    <xf numFmtId="165" fontId="13" fillId="6" borderId="25" xfId="4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165" fontId="4" fillId="0" borderId="26" xfId="4" applyFont="1" applyBorder="1" applyAlignment="1">
      <alignment horizontal="center" vertical="center"/>
    </xf>
    <xf numFmtId="165" fontId="4" fillId="0" borderId="0" xfId="4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4" fillId="0" borderId="1" xfId="4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1" xfId="4" applyFont="1" applyFill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165" fontId="12" fillId="0" borderId="0" xfId="4" applyFont="1" applyAlignment="1">
      <alignment horizontal="center" vertical="center"/>
    </xf>
    <xf numFmtId="165" fontId="12" fillId="0" borderId="27" xfId="4" applyFont="1" applyBorder="1" applyAlignment="1">
      <alignment horizontal="center" vertical="center"/>
    </xf>
    <xf numFmtId="165" fontId="4" fillId="7" borderId="1" xfId="4" applyFont="1" applyFill="1" applyBorder="1" applyAlignment="1">
      <alignment horizontal="center" vertical="center"/>
    </xf>
    <xf numFmtId="165" fontId="4" fillId="0" borderId="0" xfId="4" applyFont="1" applyAlignment="1">
      <alignment horizontal="right" vertical="center"/>
    </xf>
    <xf numFmtId="165" fontId="4" fillId="0" borderId="1" xfId="4" applyFont="1" applyBorder="1" applyAlignment="1">
      <alignment vertical="center"/>
    </xf>
    <xf numFmtId="165" fontId="12" fillId="6" borderId="28" xfId="4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65" fontId="12" fillId="0" borderId="1" xfId="4" applyFont="1" applyBorder="1" applyAlignment="1">
      <alignment horizontal="center" vertical="center"/>
    </xf>
    <xf numFmtId="165" fontId="12" fillId="0" borderId="0" xfId="4" applyFont="1" applyAlignment="1">
      <alignment vertical="center"/>
    </xf>
    <xf numFmtId="0" fontId="12" fillId="0" borderId="29" xfId="0" applyFont="1" applyBorder="1" applyAlignment="1">
      <alignment horizontal="center" vertical="center"/>
    </xf>
    <xf numFmtId="165" fontId="12" fillId="0" borderId="29" xfId="4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7" fontId="4" fillId="0" borderId="1" xfId="4" applyNumberFormat="1" applyFont="1" applyBorder="1" applyAlignment="1">
      <alignment horizontal="center" vertical="center"/>
    </xf>
    <xf numFmtId="167" fontId="4" fillId="0" borderId="1" xfId="4" applyNumberFormat="1" applyFont="1" applyBorder="1" applyAlignment="1">
      <alignment vertical="center"/>
    </xf>
    <xf numFmtId="165" fontId="12" fillId="6" borderId="30" xfId="4" applyFont="1" applyFill="1" applyBorder="1" applyAlignment="1">
      <alignment vertical="center"/>
    </xf>
    <xf numFmtId="165" fontId="12" fillId="0" borderId="0" xfId="4" applyFont="1" applyFill="1" applyBorder="1" applyAlignment="1">
      <alignment vertical="center"/>
    </xf>
    <xf numFmtId="167" fontId="4" fillId="0" borderId="1" xfId="4" applyNumberFormat="1" applyFont="1" applyFill="1" applyBorder="1" applyAlignment="1">
      <alignment vertical="center"/>
    </xf>
    <xf numFmtId="0" fontId="13" fillId="6" borderId="32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/>
    </xf>
    <xf numFmtId="165" fontId="13" fillId="6" borderId="33" xfId="4" applyFont="1" applyFill="1" applyBorder="1" applyAlignment="1">
      <alignment horizontal="center" vertical="center"/>
    </xf>
    <xf numFmtId="165" fontId="4" fillId="0" borderId="0" xfId="4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vertical="center"/>
    </xf>
    <xf numFmtId="0" fontId="12" fillId="0" borderId="34" xfId="0" applyFont="1" applyBorder="1" applyAlignment="1">
      <alignment horizontal="center" vertical="center"/>
    </xf>
    <xf numFmtId="165" fontId="12" fillId="0" borderId="34" xfId="4" applyFont="1" applyFill="1" applyBorder="1" applyAlignment="1">
      <alignment horizontal="center" vertical="center"/>
    </xf>
    <xf numFmtId="165" fontId="12" fillId="0" borderId="34" xfId="4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12" fillId="6" borderId="30" xfId="4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/>
    <xf numFmtId="165" fontId="12" fillId="0" borderId="0" xfId="4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8" fontId="4" fillId="0" borderId="26" xfId="4" applyNumberFormat="1" applyFont="1" applyBorder="1" applyAlignment="1">
      <alignment horizontal="center" vertical="center"/>
    </xf>
    <xf numFmtId="168" fontId="4" fillId="0" borderId="1" xfId="4" applyNumberFormat="1" applyFont="1" applyBorder="1" applyAlignment="1">
      <alignment horizontal="center" vertical="center"/>
    </xf>
    <xf numFmtId="167" fontId="12" fillId="0" borderId="1" xfId="4" applyNumberFormat="1" applyFont="1" applyBorder="1" applyAlignment="1">
      <alignment horizontal="center" vertical="center"/>
    </xf>
    <xf numFmtId="168" fontId="12" fillId="0" borderId="1" xfId="4" applyNumberFormat="1" applyFont="1" applyBorder="1" applyAlignment="1">
      <alignment horizontal="center" vertical="center"/>
    </xf>
    <xf numFmtId="165" fontId="4" fillId="0" borderId="26" xfId="4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10" fontId="5" fillId="0" borderId="9" xfId="3" applyNumberFormat="1" applyFont="1" applyBorder="1" applyAlignment="1">
      <alignment horizontal="right"/>
    </xf>
    <xf numFmtId="10" fontId="5" fillId="0" borderId="1" xfId="3" applyNumberFormat="1" applyFont="1" applyBorder="1" applyAlignment="1">
      <alignment horizontal="right"/>
    </xf>
    <xf numFmtId="10" fontId="5" fillId="0" borderId="6" xfId="3" applyNumberFormat="1" applyFont="1" applyBorder="1" applyAlignment="1">
      <alignment horizontal="right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0" fontId="5" fillId="0" borderId="6" xfId="0" applyNumberFormat="1" applyFont="1" applyBorder="1" applyAlignment="1">
      <alignment horizontal="center" vertical="center"/>
    </xf>
    <xf numFmtId="10" fontId="5" fillId="0" borderId="6" xfId="3" applyNumberFormat="1" applyFont="1" applyBorder="1"/>
    <xf numFmtId="0" fontId="5" fillId="0" borderId="9" xfId="0" applyFont="1" applyBorder="1" applyAlignment="1">
      <alignment horizontal="right"/>
    </xf>
    <xf numFmtId="0" fontId="5" fillId="0" borderId="6" xfId="0" applyFont="1" applyBorder="1"/>
    <xf numFmtId="0" fontId="5" fillId="0" borderId="10" xfId="0" applyFont="1" applyBorder="1" applyAlignment="1">
      <alignment horizontal="left" vertical="center"/>
    </xf>
    <xf numFmtId="0" fontId="5" fillId="0" borderId="9" xfId="0" applyFont="1" applyBorder="1"/>
    <xf numFmtId="0" fontId="5" fillId="0" borderId="1" xfId="0" applyFont="1" applyBorder="1" applyAlignment="1">
      <alignment horizont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10" fontId="5" fillId="0" borderId="37" xfId="0" applyNumberFormat="1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vertical="center"/>
    </xf>
    <xf numFmtId="0" fontId="6" fillId="2" borderId="31" xfId="0" applyFont="1" applyFill="1" applyBorder="1" applyAlignment="1">
      <alignment vertical="center" wrapText="1"/>
    </xf>
    <xf numFmtId="0" fontId="5" fillId="2" borderId="40" xfId="0" applyFont="1" applyFill="1" applyBorder="1" applyAlignment="1">
      <alignment vertical="center"/>
    </xf>
    <xf numFmtId="10" fontId="5" fillId="0" borderId="10" xfId="3" applyNumberFormat="1" applyFont="1" applyBorder="1" applyAlignment="1">
      <alignment horizontal="right"/>
    </xf>
    <xf numFmtId="10" fontId="5" fillId="0" borderId="13" xfId="3" applyNumberFormat="1" applyFont="1" applyBorder="1" applyAlignment="1">
      <alignment horizontal="right"/>
    </xf>
    <xf numFmtId="10" fontId="5" fillId="0" borderId="14" xfId="3" applyNumberFormat="1" applyFont="1" applyBorder="1" applyAlignment="1">
      <alignment horizontal="right"/>
    </xf>
    <xf numFmtId="0" fontId="19" fillId="0" borderId="0" xfId="0" applyFont="1" applyAlignment="1">
      <alignment horizontal="left" vertical="center" wrapText="1"/>
    </xf>
    <xf numFmtId="165" fontId="4" fillId="8" borderId="26" xfId="4" applyFont="1" applyFill="1" applyBorder="1" applyAlignment="1">
      <alignment horizontal="center" vertical="center"/>
    </xf>
    <xf numFmtId="3" fontId="0" fillId="9" borderId="0" xfId="0" applyNumberFormat="1" applyFill="1"/>
    <xf numFmtId="0" fontId="4" fillId="8" borderId="1" xfId="0" applyFont="1" applyFill="1" applyBorder="1" applyAlignment="1">
      <alignment horizontal="center" vertical="center"/>
    </xf>
    <xf numFmtId="3" fontId="4" fillId="8" borderId="1" xfId="0" applyNumberFormat="1" applyFont="1" applyFill="1" applyBorder="1" applyAlignment="1">
      <alignment horizontal="center" vertical="center"/>
    </xf>
    <xf numFmtId="0" fontId="0" fillId="9" borderId="0" xfId="0" applyFill="1"/>
    <xf numFmtId="165" fontId="4" fillId="8" borderId="1" xfId="4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4" fontId="0" fillId="9" borderId="0" xfId="0" applyNumberFormat="1" applyFill="1"/>
    <xf numFmtId="0" fontId="12" fillId="0" borderId="0" xfId="0" applyFont="1" applyAlignment="1">
      <alignment vertical="center"/>
    </xf>
    <xf numFmtId="0" fontId="12" fillId="0" borderId="31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165" fontId="4" fillId="0" borderId="40" xfId="4" applyFont="1" applyBorder="1" applyAlignment="1">
      <alignment vertical="center"/>
    </xf>
    <xf numFmtId="165" fontId="4" fillId="0" borderId="28" xfId="4" applyFont="1" applyBorder="1" applyAlignment="1">
      <alignment vertical="center"/>
    </xf>
    <xf numFmtId="43" fontId="0" fillId="0" borderId="0" xfId="1" applyFont="1" applyAlignment="1">
      <alignment horizontal="center"/>
    </xf>
    <xf numFmtId="9" fontId="12" fillId="9" borderId="28" xfId="3" applyFont="1" applyFill="1" applyBorder="1" applyAlignment="1">
      <alignment vertical="center"/>
    </xf>
    <xf numFmtId="165" fontId="4" fillId="9" borderId="26" xfId="4" applyFont="1" applyFill="1" applyBorder="1" applyAlignment="1">
      <alignment horizontal="center" vertical="center"/>
    </xf>
    <xf numFmtId="2" fontId="4" fillId="9" borderId="1" xfId="0" applyNumberFormat="1" applyFont="1" applyFill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/>
    </xf>
    <xf numFmtId="165" fontId="4" fillId="9" borderId="0" xfId="4" applyFont="1" applyFill="1" applyAlignment="1">
      <alignment vertical="center"/>
    </xf>
    <xf numFmtId="0" fontId="4" fillId="9" borderId="0" xfId="0" applyFont="1" applyFill="1" applyAlignment="1">
      <alignment vertical="center"/>
    </xf>
    <xf numFmtId="165" fontId="4" fillId="9" borderId="1" xfId="4" applyFont="1" applyFill="1" applyBorder="1" applyAlignment="1">
      <alignment horizontal="center" vertical="center"/>
    </xf>
    <xf numFmtId="4" fontId="4" fillId="9" borderId="26" xfId="0" applyNumberFormat="1" applyFont="1" applyFill="1" applyBorder="1" applyAlignment="1">
      <alignment horizontal="center" vertical="center"/>
    </xf>
    <xf numFmtId="168" fontId="4" fillId="9" borderId="26" xfId="4" applyNumberFormat="1" applyFont="1" applyFill="1" applyBorder="1" applyAlignment="1">
      <alignment horizontal="center" vertical="center"/>
    </xf>
    <xf numFmtId="4" fontId="4" fillId="9" borderId="1" xfId="0" applyNumberFormat="1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3" fontId="4" fillId="9" borderId="1" xfId="0" applyNumberFormat="1" applyFont="1" applyFill="1" applyBorder="1" applyAlignment="1">
      <alignment horizontal="center" vertical="center"/>
    </xf>
    <xf numFmtId="10" fontId="5" fillId="9" borderId="2" xfId="0" applyNumberFormat="1" applyFont="1" applyFill="1" applyBorder="1" applyAlignment="1">
      <alignment horizontal="center" vertical="center"/>
    </xf>
    <xf numFmtId="10" fontId="5" fillId="9" borderId="6" xfId="0" applyNumberFormat="1" applyFont="1" applyFill="1" applyBorder="1" applyAlignment="1">
      <alignment horizontal="center" vertical="center"/>
    </xf>
    <xf numFmtId="10" fontId="5" fillId="9" borderId="14" xfId="0" applyNumberFormat="1" applyFont="1" applyFill="1" applyBorder="1" applyAlignment="1">
      <alignment horizontal="center" vertical="center"/>
    </xf>
    <xf numFmtId="10" fontId="5" fillId="9" borderId="1" xfId="3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0" fontId="9" fillId="4" borderId="6" xfId="2" applyNumberFormat="1" applyFont="1" applyFill="1" applyBorder="1" applyAlignment="1">
      <alignment horizontal="right" vertical="center"/>
    </xf>
    <xf numFmtId="0" fontId="10" fillId="4" borderId="1" xfId="2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43" fontId="2" fillId="0" borderId="1" xfId="1" applyFont="1" applyBorder="1" applyAlignment="1"/>
    <xf numFmtId="43" fontId="0" fillId="0" borderId="1" xfId="1" applyFont="1" applyBorder="1" applyAlignment="1"/>
    <xf numFmtId="165" fontId="12" fillId="3" borderId="31" xfId="4" applyFont="1" applyFill="1" applyBorder="1" applyAlignment="1">
      <alignment vertical="center"/>
    </xf>
    <xf numFmtId="0" fontId="2" fillId="3" borderId="31" xfId="0" applyFont="1" applyFill="1" applyBorder="1"/>
    <xf numFmtId="0" fontId="2" fillId="3" borderId="40" xfId="0" applyFont="1" applyFill="1" applyBorder="1"/>
    <xf numFmtId="0" fontId="0" fillId="3" borderId="40" xfId="0" applyFill="1" applyBorder="1"/>
    <xf numFmtId="0" fontId="2" fillId="3" borderId="30" xfId="0" applyFont="1" applyFill="1" applyBorder="1"/>
    <xf numFmtId="165" fontId="2" fillId="3" borderId="30" xfId="0" applyNumberFormat="1" applyFont="1" applyFill="1" applyBorder="1"/>
    <xf numFmtId="0" fontId="23" fillId="0" borderId="0" xfId="0" applyFont="1" applyAlignment="1">
      <alignment horizontal="left"/>
    </xf>
    <xf numFmtId="165" fontId="12" fillId="0" borderId="30" xfId="4" applyFont="1" applyBorder="1" applyAlignment="1">
      <alignment vertical="center"/>
    </xf>
    <xf numFmtId="9" fontId="2" fillId="0" borderId="30" xfId="0" applyNumberFormat="1" applyFont="1" applyBorder="1"/>
    <xf numFmtId="165" fontId="12" fillId="0" borderId="0" xfId="4" applyFont="1" applyBorder="1" applyAlignment="1">
      <alignment vertical="center"/>
    </xf>
    <xf numFmtId="9" fontId="2" fillId="0" borderId="0" xfId="0" applyNumberFormat="1" applyFont="1"/>
    <xf numFmtId="0" fontId="12" fillId="3" borderId="30" xfId="0" applyFont="1" applyFill="1" applyBorder="1" applyAlignment="1">
      <alignment horizontal="center" vertical="center"/>
    </xf>
    <xf numFmtId="10" fontId="6" fillId="2" borderId="30" xfId="0" applyNumberFormat="1" applyFont="1" applyFill="1" applyBorder="1" applyAlignment="1">
      <alignment horizontal="center" vertical="center" wrapText="1"/>
    </xf>
    <xf numFmtId="43" fontId="2" fillId="3" borderId="30" xfId="1" applyFont="1" applyFill="1" applyBorder="1"/>
    <xf numFmtId="0" fontId="5" fillId="0" borderId="4" xfId="0" applyFont="1" applyBorder="1"/>
    <xf numFmtId="0" fontId="5" fillId="9" borderId="6" xfId="0" applyFont="1" applyFill="1" applyBorder="1"/>
    <xf numFmtId="0" fontId="5" fillId="9" borderId="19" xfId="0" applyFont="1" applyFill="1" applyBorder="1"/>
    <xf numFmtId="0" fontId="5" fillId="9" borderId="21" xfId="0" applyFont="1" applyFill="1" applyBorder="1"/>
    <xf numFmtId="10" fontId="5" fillId="0" borderId="6" xfId="2" applyNumberFormat="1" applyFont="1" applyBorder="1" applyAlignment="1">
      <alignment horizontal="right" vertical="center"/>
    </xf>
    <xf numFmtId="43" fontId="12" fillId="0" borderId="41" xfId="1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165" fontId="12" fillId="0" borderId="21" xfId="4" applyFont="1" applyBorder="1" applyAlignment="1">
      <alignment horizontal="center" vertical="center"/>
    </xf>
    <xf numFmtId="0" fontId="2" fillId="0" borderId="9" xfId="0" applyFont="1" applyBorder="1"/>
    <xf numFmtId="10" fontId="12" fillId="0" borderId="6" xfId="3" applyNumberFormat="1" applyFont="1" applyBorder="1" applyAlignment="1">
      <alignment vertical="center"/>
    </xf>
    <xf numFmtId="0" fontId="0" fillId="0" borderId="9" xfId="0" applyBorder="1"/>
    <xf numFmtId="10" fontId="0" fillId="0" borderId="6" xfId="3" applyNumberFormat="1" applyFont="1" applyBorder="1" applyAlignment="1">
      <alignment vertical="center"/>
    </xf>
    <xf numFmtId="10" fontId="2" fillId="0" borderId="6" xfId="3" applyNumberFormat="1" applyFont="1" applyBorder="1" applyAlignment="1">
      <alignment vertical="center"/>
    </xf>
    <xf numFmtId="10" fontId="4" fillId="0" borderId="6" xfId="3" applyNumberFormat="1" applyFont="1" applyBorder="1" applyAlignment="1">
      <alignment vertical="center"/>
    </xf>
    <xf numFmtId="0" fontId="2" fillId="0" borderId="10" xfId="0" applyFont="1" applyBorder="1"/>
    <xf numFmtId="43" fontId="2" fillId="0" borderId="13" xfId="1" applyFont="1" applyBorder="1" applyAlignment="1"/>
    <xf numFmtId="10" fontId="12" fillId="0" borderId="14" xfId="3" applyNumberFormat="1" applyFont="1" applyBorder="1" applyAlignment="1">
      <alignment vertical="center"/>
    </xf>
    <xf numFmtId="165" fontId="12" fillId="0" borderId="35" xfId="4" applyFont="1" applyBorder="1" applyAlignment="1">
      <alignment vertical="center"/>
    </xf>
    <xf numFmtId="0" fontId="0" fillId="0" borderId="36" xfId="0" applyBorder="1"/>
    <xf numFmtId="9" fontId="2" fillId="0" borderId="37" xfId="0" applyNumberFormat="1" applyFont="1" applyBorder="1"/>
    <xf numFmtId="0" fontId="25" fillId="0" borderId="0" xfId="5" applyFont="1" applyAlignment="1" applyProtection="1">
      <alignment horizontal="left" vertical="center"/>
    </xf>
    <xf numFmtId="0" fontId="2" fillId="0" borderId="0" xfId="0" applyFont="1"/>
    <xf numFmtId="43" fontId="0" fillId="9" borderId="0" xfId="1" applyFont="1" applyFill="1" applyAlignment="1">
      <alignment horizontal="center"/>
    </xf>
    <xf numFmtId="165" fontId="27" fillId="10" borderId="26" xfId="4" applyFont="1" applyFill="1" applyBorder="1" applyAlignment="1">
      <alignment horizontal="center" vertical="center"/>
    </xf>
    <xf numFmtId="165" fontId="4" fillId="11" borderId="26" xfId="4" applyFont="1" applyFill="1" applyBorder="1" applyAlignment="1">
      <alignment horizontal="center" vertical="center"/>
    </xf>
    <xf numFmtId="169" fontId="0" fillId="0" borderId="0" xfId="1" applyNumberFormat="1" applyFont="1"/>
    <xf numFmtId="170" fontId="4" fillId="9" borderId="1" xfId="0" applyNumberFormat="1" applyFont="1" applyFill="1" applyBorder="1" applyAlignment="1">
      <alignment vertical="center"/>
    </xf>
    <xf numFmtId="3" fontId="8" fillId="9" borderId="6" xfId="0" applyNumberFormat="1" applyFont="1" applyFill="1" applyBorder="1"/>
    <xf numFmtId="3" fontId="5" fillId="9" borderId="6" xfId="0" applyNumberFormat="1" applyFont="1" applyFill="1" applyBorder="1"/>
    <xf numFmtId="3" fontId="5" fillId="0" borderId="6" xfId="2" applyNumberFormat="1" applyFont="1" applyBorder="1"/>
    <xf numFmtId="171" fontId="0" fillId="0" borderId="0" xfId="1" applyNumberFormat="1" applyFont="1" applyAlignment="1">
      <alignment horizontal="left" indent="4"/>
    </xf>
    <xf numFmtId="0" fontId="7" fillId="5" borderId="5" xfId="2" applyFont="1" applyFill="1" applyBorder="1" applyAlignment="1">
      <alignment horizontal="center"/>
    </xf>
    <xf numFmtId="0" fontId="7" fillId="5" borderId="17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/>
    </xf>
    <xf numFmtId="0" fontId="22" fillId="3" borderId="40" xfId="0" applyFont="1" applyFill="1" applyBorder="1" applyAlignment="1">
      <alignment horizontal="center"/>
    </xf>
    <xf numFmtId="0" fontId="22" fillId="3" borderId="28" xfId="0" applyFont="1" applyFill="1" applyBorder="1" applyAlignment="1">
      <alignment horizontal="center"/>
    </xf>
    <xf numFmtId="165" fontId="7" fillId="3" borderId="31" xfId="4" applyFont="1" applyFill="1" applyBorder="1" applyAlignment="1">
      <alignment horizontal="center" vertical="center"/>
    </xf>
    <xf numFmtId="165" fontId="24" fillId="3" borderId="40" xfId="4" applyFont="1" applyFill="1" applyBorder="1" applyAlignment="1">
      <alignment horizontal="center" vertical="center"/>
    </xf>
    <xf numFmtId="165" fontId="24" fillId="3" borderId="28" xfId="4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6" fillId="3" borderId="40" xfId="0" applyFont="1" applyFill="1" applyBorder="1" applyAlignment="1">
      <alignment horizontal="center"/>
    </xf>
    <xf numFmtId="0" fontId="26" fillId="3" borderId="28" xfId="0" applyFont="1" applyFill="1" applyBorder="1" applyAlignment="1">
      <alignment horizontal="center"/>
    </xf>
  </cellXfs>
  <cellStyles count="6">
    <cellStyle name="Hiperlink" xfId="5" builtinId="8"/>
    <cellStyle name="Normal" xfId="0" builtinId="0"/>
    <cellStyle name="Normal 2" xfId="2" xr:uid="{00000000-0005-0000-0000-000002000000}"/>
    <cellStyle name="Porcentagem 2" xfId="3" xr:uid="{00000000-0005-0000-0000-000003000000}"/>
    <cellStyle name="Vírgula" xfId="1" builtinId="3"/>
    <cellStyle name="Vírgula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9"/>
  <sheetViews>
    <sheetView topLeftCell="B1" workbookViewId="0">
      <selection activeCell="B17" sqref="B17"/>
    </sheetView>
  </sheetViews>
  <sheetFormatPr defaultRowHeight="15" x14ac:dyDescent="0.25"/>
  <cols>
    <col min="2" max="2" width="73.5703125" bestFit="1" customWidth="1"/>
    <col min="3" max="3" width="17.85546875" customWidth="1"/>
  </cols>
  <sheetData>
    <row r="1" spans="2:3" ht="18" x14ac:dyDescent="0.25">
      <c r="B1" s="195" t="s">
        <v>201</v>
      </c>
      <c r="C1" s="196"/>
    </row>
    <row r="2" spans="2:3" x14ac:dyDescent="0.25">
      <c r="B2" s="4" t="s">
        <v>185</v>
      </c>
      <c r="C2" s="10"/>
    </row>
    <row r="3" spans="2:3" x14ac:dyDescent="0.25">
      <c r="B3" s="5" t="s">
        <v>5</v>
      </c>
      <c r="C3" s="191">
        <v>1092924</v>
      </c>
    </row>
    <row r="4" spans="2:3" x14ac:dyDescent="0.25">
      <c r="B4" s="6" t="s">
        <v>6</v>
      </c>
      <c r="C4" s="191">
        <v>1075253</v>
      </c>
    </row>
    <row r="5" spans="2:3" x14ac:dyDescent="0.25">
      <c r="B5" s="11" t="s">
        <v>7</v>
      </c>
      <c r="C5" s="192">
        <v>12103</v>
      </c>
    </row>
    <row r="6" spans="2:3" x14ac:dyDescent="0.25">
      <c r="B6" s="11" t="s">
        <v>8</v>
      </c>
      <c r="C6" s="192">
        <v>534360</v>
      </c>
    </row>
    <row r="7" spans="2:3" x14ac:dyDescent="0.25">
      <c r="B7" s="11" t="s">
        <v>9</v>
      </c>
      <c r="C7" s="192">
        <v>285741</v>
      </c>
    </row>
    <row r="8" spans="2:3" x14ac:dyDescent="0.25">
      <c r="B8" s="11" t="s">
        <v>10</v>
      </c>
      <c r="C8" s="192">
        <v>25908</v>
      </c>
    </row>
    <row r="9" spans="2:3" x14ac:dyDescent="0.25">
      <c r="B9" s="11" t="s">
        <v>11</v>
      </c>
      <c r="C9" s="192">
        <v>194354</v>
      </c>
    </row>
    <row r="10" spans="2:3" x14ac:dyDescent="0.25">
      <c r="B10" s="11" t="s">
        <v>12</v>
      </c>
      <c r="C10" s="165">
        <v>837</v>
      </c>
    </row>
    <row r="11" spans="2:3" x14ac:dyDescent="0.25">
      <c r="B11" s="11" t="s">
        <v>13</v>
      </c>
      <c r="C11" s="192">
        <v>3576</v>
      </c>
    </row>
    <row r="12" spans="2:3" x14ac:dyDescent="0.25">
      <c r="B12" s="12" t="s">
        <v>14</v>
      </c>
      <c r="C12" s="166">
        <v>0</v>
      </c>
    </row>
    <row r="13" spans="2:3" x14ac:dyDescent="0.25">
      <c r="B13" s="21" t="s">
        <v>15</v>
      </c>
      <c r="C13" s="166">
        <v>0</v>
      </c>
    </row>
    <row r="14" spans="2:3" x14ac:dyDescent="0.25">
      <c r="B14" s="4" t="s">
        <v>16</v>
      </c>
      <c r="C14" s="164"/>
    </row>
    <row r="15" spans="2:3" x14ac:dyDescent="0.25">
      <c r="B15" s="13" t="s">
        <v>221</v>
      </c>
      <c r="C15" s="167">
        <v>0</v>
      </c>
    </row>
    <row r="16" spans="2:3" x14ac:dyDescent="0.25">
      <c r="B16" s="11" t="s">
        <v>222</v>
      </c>
      <c r="C16" s="192">
        <v>17671</v>
      </c>
    </row>
    <row r="17" spans="2:3" x14ac:dyDescent="0.25">
      <c r="B17" s="11" t="s">
        <v>28</v>
      </c>
      <c r="C17" s="193">
        <f>C3-C4</f>
        <v>17671</v>
      </c>
    </row>
    <row r="18" spans="2:3" x14ac:dyDescent="0.25">
      <c r="B18" s="14"/>
      <c r="C18" s="15"/>
    </row>
    <row r="19" spans="2:3" x14ac:dyDescent="0.25">
      <c r="B19" s="5" t="s">
        <v>17</v>
      </c>
      <c r="C19" s="16">
        <f>MEDIAN(C15,C16)</f>
        <v>8835.5</v>
      </c>
    </row>
    <row r="20" spans="2:3" x14ac:dyDescent="0.25">
      <c r="B20" s="6" t="s">
        <v>18</v>
      </c>
      <c r="C20" s="19">
        <v>4.2599999999999999E-2</v>
      </c>
    </row>
    <row r="21" spans="2:3" x14ac:dyDescent="0.25">
      <c r="B21" s="6" t="s">
        <v>19</v>
      </c>
      <c r="C21" s="19">
        <v>5.0000000000000001E-3</v>
      </c>
    </row>
    <row r="22" spans="2:3" x14ac:dyDescent="0.25">
      <c r="B22" s="6" t="s">
        <v>20</v>
      </c>
      <c r="C22" s="17">
        <v>12</v>
      </c>
    </row>
    <row r="23" spans="2:3" x14ac:dyDescent="0.25">
      <c r="B23" s="6" t="s">
        <v>21</v>
      </c>
      <c r="C23" s="8">
        <v>360</v>
      </c>
    </row>
    <row r="24" spans="2:3" x14ac:dyDescent="0.25">
      <c r="B24" s="6" t="s">
        <v>22</v>
      </c>
      <c r="C24" s="8">
        <v>10</v>
      </c>
    </row>
    <row r="25" spans="2:3" x14ac:dyDescent="0.25">
      <c r="B25" s="5" t="s">
        <v>23</v>
      </c>
      <c r="C25" s="7">
        <v>30</v>
      </c>
    </row>
    <row r="26" spans="2:3" x14ac:dyDescent="0.25">
      <c r="B26" s="5" t="s">
        <v>24</v>
      </c>
      <c r="C26" s="7">
        <v>30</v>
      </c>
    </row>
    <row r="27" spans="2:3" x14ac:dyDescent="0.25">
      <c r="B27" s="5" t="s">
        <v>25</v>
      </c>
      <c r="C27" s="7">
        <v>36</v>
      </c>
    </row>
    <row r="28" spans="2:3" x14ac:dyDescent="0.25">
      <c r="B28" s="6" t="s">
        <v>26</v>
      </c>
      <c r="C28" s="18">
        <v>0.08</v>
      </c>
    </row>
    <row r="29" spans="2:3" ht="15.75" thickBot="1" x14ac:dyDescent="0.3">
      <c r="B29" s="9" t="s">
        <v>27</v>
      </c>
      <c r="C29" s="20">
        <v>0.5</v>
      </c>
    </row>
  </sheetData>
  <mergeCells count="1">
    <mergeCell ref="B1:C1"/>
  </mergeCell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workbookViewId="0">
      <selection activeCell="M7" sqref="M7"/>
    </sheetView>
  </sheetViews>
  <sheetFormatPr defaultRowHeight="15" x14ac:dyDescent="0.25"/>
  <cols>
    <col min="1" max="1" width="7.5703125" bestFit="1" customWidth="1"/>
    <col min="2" max="2" width="39.5703125" bestFit="1" customWidth="1"/>
    <col min="3" max="3" width="13.7109375" customWidth="1"/>
  </cols>
  <sheetData>
    <row r="1" spans="1:3" ht="18" x14ac:dyDescent="0.25">
      <c r="A1" s="197" t="s">
        <v>29</v>
      </c>
      <c r="B1" s="198"/>
      <c r="C1" s="199"/>
    </row>
    <row r="2" spans="1:3" x14ac:dyDescent="0.25">
      <c r="A2" s="22" t="s">
        <v>30</v>
      </c>
      <c r="B2" s="23" t="s">
        <v>31</v>
      </c>
      <c r="C2" s="24" t="s">
        <v>32</v>
      </c>
    </row>
    <row r="3" spans="1:3" x14ac:dyDescent="0.25">
      <c r="A3" s="22" t="s">
        <v>33</v>
      </c>
      <c r="B3" s="23" t="s">
        <v>34</v>
      </c>
      <c r="C3" s="25">
        <v>0.2</v>
      </c>
    </row>
    <row r="4" spans="1:3" x14ac:dyDescent="0.25">
      <c r="A4" s="22" t="s">
        <v>35</v>
      </c>
      <c r="B4" s="23" t="s">
        <v>36</v>
      </c>
      <c r="C4" s="25">
        <v>1.4999999999999999E-2</v>
      </c>
    </row>
    <row r="5" spans="1:3" x14ac:dyDescent="0.25">
      <c r="A5" s="22" t="s">
        <v>37</v>
      </c>
      <c r="B5" s="23" t="s">
        <v>38</v>
      </c>
      <c r="C5" s="25">
        <v>0.01</v>
      </c>
    </row>
    <row r="6" spans="1:3" x14ac:dyDescent="0.25">
      <c r="A6" s="22" t="s">
        <v>39</v>
      </c>
      <c r="B6" s="23" t="s">
        <v>40</v>
      </c>
      <c r="C6" s="25">
        <v>2E-3</v>
      </c>
    </row>
    <row r="7" spans="1:3" x14ac:dyDescent="0.25">
      <c r="A7" s="22" t="s">
        <v>41</v>
      </c>
      <c r="B7" s="23" t="s">
        <v>42</v>
      </c>
      <c r="C7" s="25">
        <v>6.0000000000000001E-3</v>
      </c>
    </row>
    <row r="8" spans="1:3" x14ac:dyDescent="0.25">
      <c r="A8" s="22" t="s">
        <v>43</v>
      </c>
      <c r="B8" s="23" t="s">
        <v>44</v>
      </c>
      <c r="C8" s="25">
        <v>2.5000000000000001E-2</v>
      </c>
    </row>
    <row r="9" spans="1:3" x14ac:dyDescent="0.25">
      <c r="A9" s="22" t="s">
        <v>45</v>
      </c>
      <c r="B9" s="23" t="s">
        <v>46</v>
      </c>
      <c r="C9" s="25">
        <v>0.03</v>
      </c>
    </row>
    <row r="10" spans="1:3" x14ac:dyDescent="0.25">
      <c r="A10" s="22" t="s">
        <v>47</v>
      </c>
      <c r="B10" s="23" t="s">
        <v>26</v>
      </c>
      <c r="C10" s="25">
        <v>0.08</v>
      </c>
    </row>
    <row r="11" spans="1:3" x14ac:dyDescent="0.25">
      <c r="A11" s="22" t="s">
        <v>48</v>
      </c>
      <c r="B11" s="146" t="s">
        <v>49</v>
      </c>
      <c r="C11" s="26">
        <f>SUM(C3:C10)</f>
        <v>0.36800000000000005</v>
      </c>
    </row>
    <row r="12" spans="1:3" x14ac:dyDescent="0.25">
      <c r="A12" s="27"/>
      <c r="B12" s="28"/>
      <c r="C12" s="29"/>
    </row>
    <row r="13" spans="1:3" x14ac:dyDescent="0.25">
      <c r="A13" s="22" t="s">
        <v>50</v>
      </c>
      <c r="B13" s="30" t="s">
        <v>51</v>
      </c>
      <c r="C13" s="168">
        <v>0.11509999999999999</v>
      </c>
    </row>
    <row r="14" spans="1:3" x14ac:dyDescent="0.25">
      <c r="A14" s="22" t="s">
        <v>52</v>
      </c>
      <c r="B14" s="30" t="s">
        <v>53</v>
      </c>
      <c r="C14" s="25">
        <v>0.1104</v>
      </c>
    </row>
    <row r="15" spans="1:3" x14ac:dyDescent="0.25">
      <c r="A15" s="22" t="s">
        <v>54</v>
      </c>
      <c r="B15" s="30" t="s">
        <v>55</v>
      </c>
      <c r="C15" s="145">
        <v>0</v>
      </c>
    </row>
    <row r="16" spans="1:3" x14ac:dyDescent="0.25">
      <c r="A16" s="22" t="s">
        <v>56</v>
      </c>
      <c r="B16" s="30" t="s">
        <v>57</v>
      </c>
      <c r="C16" s="145">
        <v>0</v>
      </c>
    </row>
    <row r="17" spans="1:3" x14ac:dyDescent="0.25">
      <c r="A17" s="22" t="s">
        <v>58</v>
      </c>
      <c r="B17" s="30" t="s">
        <v>59</v>
      </c>
      <c r="C17" s="145">
        <v>1E-4</v>
      </c>
    </row>
    <row r="18" spans="1:3" x14ac:dyDescent="0.25">
      <c r="A18" s="22" t="s">
        <v>60</v>
      </c>
      <c r="B18" s="30" t="s">
        <v>61</v>
      </c>
      <c r="C18" s="145">
        <v>0</v>
      </c>
    </row>
    <row r="19" spans="1:3" x14ac:dyDescent="0.25">
      <c r="A19" s="22" t="s">
        <v>62</v>
      </c>
      <c r="B19" s="146" t="s">
        <v>63</v>
      </c>
      <c r="C19" s="26">
        <f>SUM(C13:C18)</f>
        <v>0.22559999999999997</v>
      </c>
    </row>
    <row r="20" spans="1:3" x14ac:dyDescent="0.25">
      <c r="A20" s="27"/>
      <c r="B20" s="28"/>
      <c r="C20" s="29"/>
    </row>
    <row r="21" spans="1:3" x14ac:dyDescent="0.25">
      <c r="A21" s="22" t="s">
        <v>64</v>
      </c>
      <c r="B21" s="23" t="s">
        <v>65</v>
      </c>
      <c r="C21" s="25">
        <f>ROUND((CAGED!C27) *CAGED!C20/CAGED!C23,4)</f>
        <v>4.3E-3</v>
      </c>
    </row>
    <row r="22" spans="1:3" x14ac:dyDescent="0.25">
      <c r="A22" s="22" t="s">
        <v>66</v>
      </c>
      <c r="B22" s="23" t="s">
        <v>67</v>
      </c>
      <c r="C22" s="25">
        <v>0</v>
      </c>
    </row>
    <row r="23" spans="1:3" x14ac:dyDescent="0.25">
      <c r="A23" s="22" t="s">
        <v>68</v>
      </c>
      <c r="B23" s="23" t="s">
        <v>69</v>
      </c>
      <c r="C23" s="25">
        <v>0</v>
      </c>
    </row>
    <row r="24" spans="1:3" x14ac:dyDescent="0.25">
      <c r="A24" s="22" t="s">
        <v>70</v>
      </c>
      <c r="B24" s="23" t="s">
        <v>71</v>
      </c>
      <c r="C24" s="25">
        <v>0</v>
      </c>
    </row>
    <row r="25" spans="1:3" x14ac:dyDescent="0.25">
      <c r="A25" s="22" t="s">
        <v>72</v>
      </c>
      <c r="B25" s="23" t="s">
        <v>73</v>
      </c>
      <c r="C25" s="25">
        <f>ROUND((CAGED!C25/CAGED!C23)*CAGED!C20/12,4)</f>
        <v>2.9999999999999997E-4</v>
      </c>
    </row>
    <row r="26" spans="1:3" x14ac:dyDescent="0.25">
      <c r="A26" s="22" t="s">
        <v>74</v>
      </c>
      <c r="B26" s="146" t="s">
        <v>75</v>
      </c>
      <c r="C26" s="26">
        <f>SUM(C21:C25)</f>
        <v>4.5999999999999999E-3</v>
      </c>
    </row>
    <row r="27" spans="1:3" x14ac:dyDescent="0.25">
      <c r="A27" s="27"/>
      <c r="B27" s="28"/>
      <c r="C27" s="29"/>
    </row>
    <row r="28" spans="1:3" x14ac:dyDescent="0.25">
      <c r="A28" s="22" t="s">
        <v>76</v>
      </c>
      <c r="B28" s="23" t="s">
        <v>77</v>
      </c>
      <c r="C28" s="25">
        <f>ROUND(C11*C19,4)</f>
        <v>8.3000000000000004E-2</v>
      </c>
    </row>
    <row r="29" spans="1:3" ht="28.5" x14ac:dyDescent="0.25">
      <c r="A29" s="22" t="s">
        <v>78</v>
      </c>
      <c r="B29" s="31" t="s">
        <v>79</v>
      </c>
      <c r="C29" s="25">
        <f>ROUND((C21*C10),4)</f>
        <v>2.9999999999999997E-4</v>
      </c>
    </row>
    <row r="30" spans="1:3" x14ac:dyDescent="0.25">
      <c r="A30" s="22" t="s">
        <v>80</v>
      </c>
      <c r="B30" s="146" t="s">
        <v>81</v>
      </c>
      <c r="C30" s="26">
        <f>SUM(C28:C29)</f>
        <v>8.3299999999999999E-2</v>
      </c>
    </row>
    <row r="31" spans="1:3" ht="15.75" thickBot="1" x14ac:dyDescent="0.3">
      <c r="A31" s="32"/>
      <c r="B31" s="33" t="s">
        <v>82</v>
      </c>
      <c r="C31" s="34">
        <f>C30+C26+C19+C11</f>
        <v>0.68149999999999999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9"/>
  <sheetViews>
    <sheetView tabSelected="1" workbookViewId="0">
      <selection activeCell="A19" sqref="A19"/>
    </sheetView>
  </sheetViews>
  <sheetFormatPr defaultRowHeight="15" x14ac:dyDescent="0.25"/>
  <cols>
    <col min="1" max="1" width="44.85546875" bestFit="1" customWidth="1"/>
    <col min="2" max="2" width="16.140625" bestFit="1" customWidth="1"/>
    <col min="3" max="3" width="10.28515625" bestFit="1" customWidth="1"/>
    <col min="4" max="4" width="17.7109375" bestFit="1" customWidth="1"/>
    <col min="5" max="5" width="10.28515625" bestFit="1" customWidth="1"/>
    <col min="6" max="6" width="10.5703125" bestFit="1" customWidth="1"/>
  </cols>
  <sheetData>
    <row r="1" spans="1:6" ht="15.75" thickBot="1" x14ac:dyDescent="0.3">
      <c r="A1" s="150" t="s">
        <v>116</v>
      </c>
      <c r="B1" s="128">
        <v>1</v>
      </c>
    </row>
    <row r="2" spans="1:6" ht="15.75" thickBot="1" x14ac:dyDescent="0.3"/>
    <row r="3" spans="1:6" ht="18.75" thickBot="1" x14ac:dyDescent="0.3">
      <c r="A3" s="200" t="s">
        <v>202</v>
      </c>
      <c r="B3" s="201"/>
      <c r="C3" s="201"/>
      <c r="D3" s="201"/>
      <c r="E3" s="201"/>
      <c r="F3" s="202"/>
    </row>
    <row r="4" spans="1:6" ht="15.75" thickBot="1" x14ac:dyDescent="0.3">
      <c r="A4" s="46" t="s">
        <v>203</v>
      </c>
      <c r="B4" s="46"/>
      <c r="C4" s="46"/>
      <c r="D4" s="42"/>
      <c r="E4" s="42"/>
      <c r="F4" s="42"/>
    </row>
    <row r="5" spans="1:6" ht="15.75" thickBot="1" x14ac:dyDescent="0.3">
      <c r="A5" s="35" t="s">
        <v>84</v>
      </c>
      <c r="B5" s="36" t="s">
        <v>85</v>
      </c>
      <c r="C5" s="36" t="s">
        <v>86</v>
      </c>
      <c r="D5" s="37" t="s">
        <v>87</v>
      </c>
      <c r="E5" s="37" t="s">
        <v>88</v>
      </c>
      <c r="F5" s="38" t="s">
        <v>89</v>
      </c>
    </row>
    <row r="6" spans="1:6" x14ac:dyDescent="0.25">
      <c r="A6" s="39" t="s">
        <v>107</v>
      </c>
      <c r="B6" s="40" t="s">
        <v>90</v>
      </c>
      <c r="C6" s="40">
        <v>1</v>
      </c>
      <c r="D6" s="129">
        <v>2448.1</v>
      </c>
      <c r="E6" s="41">
        <f>C6*D6</f>
        <v>2448.1</v>
      </c>
      <c r="F6" s="42"/>
    </row>
    <row r="7" spans="1:6" x14ac:dyDescent="0.25">
      <c r="A7" s="39" t="s">
        <v>108</v>
      </c>
      <c r="B7" s="40" t="s">
        <v>90</v>
      </c>
      <c r="C7" s="40">
        <v>1</v>
      </c>
      <c r="D7" s="129">
        <v>1621</v>
      </c>
      <c r="E7" s="41"/>
      <c r="F7" s="42"/>
    </row>
    <row r="8" spans="1:6" x14ac:dyDescent="0.25">
      <c r="A8" s="43" t="s">
        <v>91</v>
      </c>
      <c r="B8" s="44" t="s">
        <v>92</v>
      </c>
      <c r="C8" s="130">
        <v>0</v>
      </c>
      <c r="D8" s="45">
        <f>D6/220*2</f>
        <v>22.255454545454544</v>
      </c>
      <c r="E8" s="45">
        <f>C8*D8</f>
        <v>0</v>
      </c>
      <c r="F8" s="42"/>
    </row>
    <row r="9" spans="1:6" x14ac:dyDescent="0.25">
      <c r="A9" s="43" t="s">
        <v>93</v>
      </c>
      <c r="B9" s="44" t="s">
        <v>92</v>
      </c>
      <c r="C9" s="130">
        <v>0</v>
      </c>
      <c r="D9" s="45">
        <f>D6/220*1.5</f>
        <v>16.691590909090909</v>
      </c>
      <c r="E9" s="45">
        <f>C9*D9</f>
        <v>0</v>
      </c>
      <c r="F9" s="42"/>
    </row>
    <row r="10" spans="1:6" x14ac:dyDescent="0.25">
      <c r="A10" s="43" t="s">
        <v>94</v>
      </c>
      <c r="B10" s="44" t="s">
        <v>1</v>
      </c>
      <c r="C10" s="46"/>
      <c r="D10" s="45">
        <f>63/302*(SUM(E8:E9))</f>
        <v>0</v>
      </c>
      <c r="E10" s="45">
        <f>D10</f>
        <v>0</v>
      </c>
      <c r="F10" s="42"/>
    </row>
    <row r="11" spans="1:6" x14ac:dyDescent="0.25">
      <c r="A11" s="43" t="s">
        <v>109</v>
      </c>
      <c r="B11" s="44"/>
      <c r="C11" s="131">
        <v>1</v>
      </c>
      <c r="D11" s="45"/>
      <c r="E11" s="45"/>
      <c r="F11" s="42"/>
    </row>
    <row r="12" spans="1:6" x14ac:dyDescent="0.25">
      <c r="A12" s="43" t="s">
        <v>95</v>
      </c>
      <c r="B12" s="44" t="s">
        <v>96</v>
      </c>
      <c r="C12" s="120">
        <v>15</v>
      </c>
      <c r="D12" s="47">
        <f>IF(C11=2,SUM(E6:E10),IF(C11=1,(SUM(E6:E10))*D7/D6,0))</f>
        <v>1621</v>
      </c>
      <c r="E12" s="45">
        <f>C12*D12/100</f>
        <v>243.15</v>
      </c>
      <c r="F12" s="42"/>
    </row>
    <row r="13" spans="1:6" x14ac:dyDescent="0.25">
      <c r="A13" s="56" t="s">
        <v>97</v>
      </c>
      <c r="B13" s="49"/>
      <c r="C13" s="49"/>
      <c r="D13" s="50"/>
      <c r="E13" s="57">
        <f>SUM(E6:E12)</f>
        <v>2691.25</v>
      </c>
      <c r="F13" s="58"/>
    </row>
    <row r="14" spans="1:6" x14ac:dyDescent="0.25">
      <c r="A14" s="43" t="s">
        <v>98</v>
      </c>
      <c r="B14" s="44" t="s">
        <v>96</v>
      </c>
      <c r="C14" s="52">
        <f>Encargos!$C$31*100</f>
        <v>68.150000000000006</v>
      </c>
      <c r="D14" s="45">
        <f>E13</f>
        <v>2691.25</v>
      </c>
      <c r="E14" s="45">
        <f>D14*C14/100</f>
        <v>1834.0868750000002</v>
      </c>
      <c r="F14" s="42"/>
    </row>
    <row r="15" spans="1:6" x14ac:dyDescent="0.25">
      <c r="A15" s="56" t="s">
        <v>110</v>
      </c>
      <c r="B15" s="59"/>
      <c r="C15" s="59"/>
      <c r="D15" s="60"/>
      <c r="E15" s="57">
        <f>E13+E14</f>
        <v>4525.336875</v>
      </c>
      <c r="F15" s="58"/>
    </row>
    <row r="16" spans="1:6" ht="15.75" thickBot="1" x14ac:dyDescent="0.3">
      <c r="A16" s="43" t="s">
        <v>99</v>
      </c>
      <c r="B16" s="44" t="s">
        <v>100</v>
      </c>
      <c r="C16" s="120">
        <v>1</v>
      </c>
      <c r="D16" s="45">
        <f>E15</f>
        <v>4525.336875</v>
      </c>
      <c r="E16" s="45">
        <f>C16*D16</f>
        <v>4525.336875</v>
      </c>
      <c r="F16" s="42"/>
    </row>
    <row r="17" spans="1:6" ht="15.75" thickBot="1" x14ac:dyDescent="0.3">
      <c r="A17" s="46"/>
      <c r="B17" s="46"/>
      <c r="C17" s="46"/>
      <c r="D17" s="53" t="s">
        <v>101</v>
      </c>
      <c r="E17" s="54">
        <f>$B$1</f>
        <v>1</v>
      </c>
      <c r="F17" s="55">
        <f>E16*E17</f>
        <v>4525.336875</v>
      </c>
    </row>
    <row r="18" spans="1:6" x14ac:dyDescent="0.25">
      <c r="A18" s="46"/>
      <c r="B18" s="46"/>
      <c r="C18" s="46"/>
      <c r="D18" s="42"/>
      <c r="E18" s="42"/>
      <c r="F18" s="42"/>
    </row>
    <row r="19" spans="1:6" ht="15.75" thickBot="1" x14ac:dyDescent="0.3">
      <c r="A19" s="46" t="s">
        <v>225</v>
      </c>
      <c r="B19" s="46"/>
      <c r="C19" s="46"/>
      <c r="D19" s="42"/>
      <c r="E19" s="42"/>
      <c r="F19" s="42"/>
    </row>
    <row r="20" spans="1:6" ht="15.75" thickBot="1" x14ac:dyDescent="0.3">
      <c r="A20" s="35" t="s">
        <v>84</v>
      </c>
      <c r="B20" s="36" t="s">
        <v>85</v>
      </c>
      <c r="C20" s="36" t="s">
        <v>86</v>
      </c>
      <c r="D20" s="37" t="s">
        <v>87</v>
      </c>
      <c r="E20" s="37" t="s">
        <v>88</v>
      </c>
      <c r="F20" s="38" t="s">
        <v>89</v>
      </c>
    </row>
    <row r="21" spans="1:6" x14ac:dyDescent="0.25">
      <c r="A21" s="39" t="s">
        <v>107</v>
      </c>
      <c r="B21" s="40" t="s">
        <v>90</v>
      </c>
      <c r="C21" s="40">
        <v>1</v>
      </c>
      <c r="D21" s="41">
        <v>1789.04</v>
      </c>
      <c r="E21" s="41">
        <f>C21*D21</f>
        <v>1789.04</v>
      </c>
      <c r="F21" s="42"/>
    </row>
    <row r="22" spans="1:6" x14ac:dyDescent="0.25">
      <c r="A22" s="39" t="s">
        <v>108</v>
      </c>
      <c r="B22" s="40" t="s">
        <v>90</v>
      </c>
      <c r="C22" s="40">
        <v>1</v>
      </c>
      <c r="D22" s="45">
        <f>D7</f>
        <v>1621</v>
      </c>
      <c r="E22" s="45"/>
      <c r="F22" s="42"/>
    </row>
    <row r="23" spans="1:6" x14ac:dyDescent="0.25">
      <c r="A23" s="43" t="s">
        <v>102</v>
      </c>
      <c r="B23" s="44" t="s">
        <v>103</v>
      </c>
      <c r="C23" s="130">
        <v>0</v>
      </c>
      <c r="D23" s="43"/>
      <c r="E23" s="43"/>
      <c r="F23" s="42"/>
    </row>
    <row r="24" spans="1:6" x14ac:dyDescent="0.25">
      <c r="A24" s="43"/>
      <c r="B24" s="44" t="s">
        <v>104</v>
      </c>
      <c r="C24" s="45">
        <f>C23*8/7</f>
        <v>0</v>
      </c>
      <c r="D24" s="45">
        <f>D21/220*0.2</f>
        <v>1.6264000000000001</v>
      </c>
      <c r="E24" s="45">
        <f>C23*D24</f>
        <v>0</v>
      </c>
      <c r="F24" s="42"/>
    </row>
    <row r="25" spans="1:6" x14ac:dyDescent="0.25">
      <c r="A25" s="43" t="s">
        <v>91</v>
      </c>
      <c r="B25" s="44" t="s">
        <v>92</v>
      </c>
      <c r="C25" s="130">
        <v>0</v>
      </c>
      <c r="D25" s="45">
        <f>D21/220*2</f>
        <v>16.263999999999999</v>
      </c>
      <c r="E25" s="45">
        <f>C25*D25</f>
        <v>0</v>
      </c>
      <c r="F25" s="42"/>
    </row>
    <row r="26" spans="1:6" x14ac:dyDescent="0.25">
      <c r="A26" s="43" t="s">
        <v>105</v>
      </c>
      <c r="B26" s="44" t="s">
        <v>103</v>
      </c>
      <c r="C26" s="130">
        <v>0</v>
      </c>
      <c r="D26" s="45"/>
      <c r="E26" s="45"/>
      <c r="F26" s="42"/>
    </row>
    <row r="27" spans="1:6" x14ac:dyDescent="0.25">
      <c r="A27" s="43"/>
      <c r="B27" s="44" t="s">
        <v>104</v>
      </c>
      <c r="C27" s="45">
        <f>C26*8/7</f>
        <v>0</v>
      </c>
      <c r="D27" s="45">
        <f>D21/220*2*1.2</f>
        <v>19.5168</v>
      </c>
      <c r="E27" s="45">
        <f>C27*D27</f>
        <v>0</v>
      </c>
      <c r="F27" s="42"/>
    </row>
    <row r="28" spans="1:6" x14ac:dyDescent="0.25">
      <c r="A28" s="43" t="s">
        <v>93</v>
      </c>
      <c r="B28" s="44" t="s">
        <v>92</v>
      </c>
      <c r="C28" s="130">
        <v>0</v>
      </c>
      <c r="D28" s="45">
        <f>D21/220*1.5</f>
        <v>12.198</v>
      </c>
      <c r="E28" s="45">
        <f>C28*D28</f>
        <v>0</v>
      </c>
      <c r="F28" s="42"/>
    </row>
    <row r="29" spans="1:6" x14ac:dyDescent="0.25">
      <c r="A29" s="43" t="s">
        <v>106</v>
      </c>
      <c r="B29" s="44" t="s">
        <v>103</v>
      </c>
      <c r="C29" s="130">
        <v>0</v>
      </c>
      <c r="D29" s="45"/>
      <c r="E29" s="45"/>
      <c r="F29" s="42"/>
    </row>
    <row r="30" spans="1:6" x14ac:dyDescent="0.25">
      <c r="A30" s="43"/>
      <c r="B30" s="44" t="s">
        <v>104</v>
      </c>
      <c r="C30" s="45">
        <f>C29*8/7</f>
        <v>0</v>
      </c>
      <c r="D30" s="45">
        <f>D21/220*1.5*1.2</f>
        <v>14.637599999999999</v>
      </c>
      <c r="E30" s="45">
        <f>C30*D30</f>
        <v>0</v>
      </c>
      <c r="F30" s="42"/>
    </row>
    <row r="31" spans="1:6" x14ac:dyDescent="0.25">
      <c r="A31" s="43" t="s">
        <v>94</v>
      </c>
      <c r="B31" s="44" t="s">
        <v>1</v>
      </c>
      <c r="C31" s="46"/>
      <c r="D31" s="45">
        <f>63/302*(SUM(E25:E30))</f>
        <v>0</v>
      </c>
      <c r="E31" s="45">
        <f>D31</f>
        <v>0</v>
      </c>
      <c r="F31" s="42"/>
    </row>
    <row r="32" spans="1:6" x14ac:dyDescent="0.25">
      <c r="A32" s="43" t="s">
        <v>109</v>
      </c>
      <c r="B32" s="44"/>
      <c r="C32" s="131">
        <v>1</v>
      </c>
      <c r="D32" s="45"/>
      <c r="E32" s="45"/>
      <c r="F32" s="42"/>
    </row>
    <row r="33" spans="1:6" x14ac:dyDescent="0.25">
      <c r="A33" s="43" t="s">
        <v>95</v>
      </c>
      <c r="B33" s="44" t="s">
        <v>96</v>
      </c>
      <c r="C33" s="47">
        <f>+C12</f>
        <v>15</v>
      </c>
      <c r="D33" s="47">
        <f>IF(C32=2,SUM(E21:E31),IF(C32=1,SUM(E21:E31)*D22/D21,0))</f>
        <v>1621</v>
      </c>
      <c r="E33" s="45">
        <f>C33*D33/100</f>
        <v>243.15</v>
      </c>
      <c r="F33" s="42"/>
    </row>
    <row r="34" spans="1:6" x14ac:dyDescent="0.25">
      <c r="A34" s="48" t="s">
        <v>97</v>
      </c>
      <c r="B34" s="49"/>
      <c r="C34" s="49"/>
      <c r="D34" s="50"/>
      <c r="E34" s="51">
        <f>SUM(E21:E33)</f>
        <v>2032.19</v>
      </c>
      <c r="F34" s="58"/>
    </row>
    <row r="35" spans="1:6" x14ac:dyDescent="0.25">
      <c r="A35" s="43" t="s">
        <v>98</v>
      </c>
      <c r="B35" s="44" t="s">
        <v>96</v>
      </c>
      <c r="C35" s="52">
        <f>Encargos!$C$31*100</f>
        <v>68.150000000000006</v>
      </c>
      <c r="D35" s="45">
        <f>E34</f>
        <v>2032.19</v>
      </c>
      <c r="E35" s="45">
        <f>D35*C35/100</f>
        <v>1384.9374850000002</v>
      </c>
      <c r="F35" s="42"/>
    </row>
    <row r="36" spans="1:6" x14ac:dyDescent="0.25">
      <c r="A36" s="48" t="s">
        <v>110</v>
      </c>
      <c r="B36" s="49"/>
      <c r="C36" s="49"/>
      <c r="D36" s="50"/>
      <c r="E36" s="51">
        <f>E34+E35</f>
        <v>3417.127485</v>
      </c>
      <c r="F36" s="58"/>
    </row>
    <row r="37" spans="1:6" ht="15.75" thickBot="1" x14ac:dyDescent="0.3">
      <c r="A37" s="43" t="s">
        <v>99</v>
      </c>
      <c r="B37" s="44" t="s">
        <v>100</v>
      </c>
      <c r="C37" s="120">
        <v>1</v>
      </c>
      <c r="D37" s="45">
        <f>E36</f>
        <v>3417.127485</v>
      </c>
      <c r="E37" s="45">
        <f>C37*D37</f>
        <v>3417.127485</v>
      </c>
      <c r="F37" s="42"/>
    </row>
    <row r="38" spans="1:6" ht="15.75" thickBot="1" x14ac:dyDescent="0.3">
      <c r="A38" s="46"/>
      <c r="B38" s="46"/>
      <c r="C38" s="46"/>
      <c r="D38" s="53" t="s">
        <v>101</v>
      </c>
      <c r="E38" s="54">
        <f>$B$1</f>
        <v>1</v>
      </c>
      <c r="F38" s="55">
        <f>E37*E38</f>
        <v>3417.127485</v>
      </c>
    </row>
    <row r="41" spans="1:6" ht="15.75" thickBot="1" x14ac:dyDescent="0.3">
      <c r="A41" s="46" t="s">
        <v>204</v>
      </c>
      <c r="B41" s="61"/>
      <c r="C41" s="46"/>
      <c r="D41" s="46"/>
      <c r="E41" s="46"/>
      <c r="F41" s="42"/>
    </row>
    <row r="42" spans="1:6" ht="15.75" thickBot="1" x14ac:dyDescent="0.3">
      <c r="A42" s="35" t="s">
        <v>84</v>
      </c>
      <c r="B42" s="36" t="s">
        <v>85</v>
      </c>
      <c r="C42" s="36" t="s">
        <v>86</v>
      </c>
      <c r="D42" s="37" t="s">
        <v>87</v>
      </c>
      <c r="E42" s="37" t="s">
        <v>88</v>
      </c>
      <c r="F42" s="38" t="s">
        <v>89</v>
      </c>
    </row>
    <row r="43" spans="1:6" x14ac:dyDescent="0.25">
      <c r="A43" s="43" t="s">
        <v>111</v>
      </c>
      <c r="B43" s="44" t="s">
        <v>1</v>
      </c>
      <c r="C43" s="62">
        <v>2</v>
      </c>
      <c r="D43" s="132">
        <v>4.9000000000000004</v>
      </c>
      <c r="E43" s="45"/>
      <c r="F43" s="42"/>
    </row>
    <row r="44" spans="1:6" x14ac:dyDescent="0.25">
      <c r="A44" s="43" t="s">
        <v>112</v>
      </c>
      <c r="B44" s="44" t="s">
        <v>113</v>
      </c>
      <c r="C44" s="133">
        <v>20</v>
      </c>
      <c r="D44" s="45"/>
      <c r="E44" s="45"/>
      <c r="F44" s="42"/>
    </row>
    <row r="45" spans="1:6" ht="15.75" thickBot="1" x14ac:dyDescent="0.3">
      <c r="A45" s="39" t="s">
        <v>115</v>
      </c>
      <c r="B45" s="40" t="s">
        <v>114</v>
      </c>
      <c r="C45" s="63">
        <f>$C44*2*(C37+C16)</f>
        <v>80</v>
      </c>
      <c r="D45" s="41">
        <f>IFERROR((($C$44*2*$D$43)-(E6*0.06*C44/26))/($C$44*2),"-")</f>
        <v>2.0752692307692309</v>
      </c>
      <c r="E45" s="41">
        <f>IFERROR(C45*D45,"-")</f>
        <v>166.02153846153846</v>
      </c>
      <c r="F45" s="42"/>
    </row>
    <row r="46" spans="1:6" ht="15.75" thickBot="1" x14ac:dyDescent="0.3">
      <c r="A46" s="46"/>
      <c r="B46" s="46"/>
      <c r="C46" s="46"/>
      <c r="D46" s="42"/>
      <c r="E46" s="42"/>
      <c r="F46" s="64">
        <f>SUM(E45:E45)</f>
        <v>166.02153846153846</v>
      </c>
    </row>
    <row r="47" spans="1:6" x14ac:dyDescent="0.25">
      <c r="A47" s="46"/>
      <c r="B47" s="46"/>
      <c r="C47" s="46"/>
      <c r="D47" s="42"/>
      <c r="E47" s="42"/>
      <c r="F47" s="42"/>
    </row>
    <row r="48" spans="1:6" ht="15.75" thickBot="1" x14ac:dyDescent="0.3">
      <c r="A48" s="46" t="s">
        <v>205</v>
      </c>
      <c r="B48" s="46"/>
      <c r="C48" s="46"/>
      <c r="D48" s="42"/>
      <c r="E48" s="42"/>
      <c r="F48" s="65"/>
    </row>
    <row r="49" spans="1:6" ht="15.75" thickBot="1" x14ac:dyDescent="0.3">
      <c r="A49" s="35" t="s">
        <v>84</v>
      </c>
      <c r="B49" s="36" t="s">
        <v>85</v>
      </c>
      <c r="C49" s="36" t="s">
        <v>86</v>
      </c>
      <c r="D49" s="37" t="s">
        <v>87</v>
      </c>
      <c r="E49" s="37" t="s">
        <v>88</v>
      </c>
      <c r="F49" s="38" t="s">
        <v>89</v>
      </c>
    </row>
    <row r="50" spans="1:6" ht="15.75" thickBot="1" x14ac:dyDescent="0.3">
      <c r="A50" s="43" t="str">
        <f>+A45</f>
        <v>Motorista</v>
      </c>
      <c r="B50" s="44" t="s">
        <v>0</v>
      </c>
      <c r="C50" s="66">
        <v>40</v>
      </c>
      <c r="D50" s="134">
        <v>31.93</v>
      </c>
      <c r="E50" s="54">
        <f>C50*D50</f>
        <v>1277.2</v>
      </c>
      <c r="F50" s="65"/>
    </row>
    <row r="51" spans="1:6" ht="15.75" thickBot="1" x14ac:dyDescent="0.3">
      <c r="A51" s="46"/>
      <c r="B51" s="46"/>
      <c r="C51" s="46"/>
      <c r="D51" s="42"/>
      <c r="E51" s="42"/>
      <c r="F51" s="64">
        <f>SUM(E50:E50)</f>
        <v>1277.2</v>
      </c>
    </row>
    <row r="52" spans="1:6" x14ac:dyDescent="0.25">
      <c r="A52" s="46"/>
      <c r="B52" s="46"/>
      <c r="C52" s="46"/>
      <c r="D52" s="42"/>
      <c r="E52" s="42"/>
      <c r="F52" s="42"/>
    </row>
    <row r="53" spans="1:6" ht="15.75" thickBot="1" x14ac:dyDescent="0.3">
      <c r="A53" s="46" t="s">
        <v>206</v>
      </c>
      <c r="B53" s="46"/>
      <c r="C53" s="46"/>
      <c r="D53" s="42"/>
      <c r="E53" s="42"/>
      <c r="F53" s="65"/>
    </row>
    <row r="54" spans="1:6" ht="15.75" thickBot="1" x14ac:dyDescent="0.3">
      <c r="A54" s="35" t="s">
        <v>84</v>
      </c>
      <c r="B54" s="36" t="s">
        <v>85</v>
      </c>
      <c r="C54" s="36" t="s">
        <v>86</v>
      </c>
      <c r="D54" s="37" t="s">
        <v>87</v>
      </c>
      <c r="E54" s="37" t="s">
        <v>88</v>
      </c>
      <c r="F54" s="38" t="s">
        <v>89</v>
      </c>
    </row>
    <row r="55" spans="1:6" ht="15.75" thickBot="1" x14ac:dyDescent="0.3">
      <c r="A55" s="43" t="str">
        <f>+A50</f>
        <v>Motorista</v>
      </c>
      <c r="B55" s="44" t="s">
        <v>0</v>
      </c>
      <c r="C55" s="66">
        <f>C16+C37</f>
        <v>2</v>
      </c>
      <c r="D55" s="134">
        <v>396</v>
      </c>
      <c r="E55" s="54">
        <f>C55*D55</f>
        <v>792</v>
      </c>
      <c r="F55" s="65"/>
    </row>
    <row r="56" spans="1:6" ht="15.75" thickBot="1" x14ac:dyDescent="0.3">
      <c r="A56" s="46"/>
      <c r="B56" s="46"/>
      <c r="C56" s="46"/>
      <c r="D56" s="53" t="s">
        <v>101</v>
      </c>
      <c r="E56" s="54">
        <f>$B$1</f>
        <v>1</v>
      </c>
      <c r="F56" s="64">
        <f>SUM(E55:E55)*E56</f>
        <v>792</v>
      </c>
    </row>
    <row r="58" spans="1:6" ht="15.75" thickBot="1" x14ac:dyDescent="0.3"/>
    <row r="59" spans="1:6" ht="15.75" thickBot="1" x14ac:dyDescent="0.3">
      <c r="A59" s="154" t="s">
        <v>180</v>
      </c>
      <c r="B59" s="154" t="s">
        <v>179</v>
      </c>
      <c r="C59" s="153"/>
      <c r="D59" s="153"/>
      <c r="E59" s="153"/>
      <c r="F59" s="155">
        <f>F56+F51+F46+F38+F17</f>
        <v>10177.685898461539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"/>
  <sheetViews>
    <sheetView workbookViewId="0">
      <selection activeCell="C6" sqref="C6"/>
    </sheetView>
  </sheetViews>
  <sheetFormatPr defaultRowHeight="15" x14ac:dyDescent="0.25"/>
  <cols>
    <col min="1" max="1" width="47" bestFit="1" customWidth="1"/>
    <col min="2" max="2" width="8.42578125" bestFit="1" customWidth="1"/>
    <col min="3" max="3" width="12.85546875" bestFit="1" customWidth="1"/>
    <col min="4" max="4" width="17.7109375" bestFit="1" customWidth="1"/>
    <col min="5" max="5" width="11.28515625" bestFit="1" customWidth="1"/>
    <col min="6" max="6" width="9.85546875" bestFit="1" customWidth="1"/>
  </cols>
  <sheetData>
    <row r="1" spans="1:6" x14ac:dyDescent="0.25">
      <c r="A1" s="156" t="s">
        <v>129</v>
      </c>
    </row>
    <row r="2" spans="1:6" x14ac:dyDescent="0.25">
      <c r="A2" t="s">
        <v>177</v>
      </c>
      <c r="B2" s="79" t="s">
        <v>1</v>
      </c>
      <c r="C2" s="121">
        <v>122505</v>
      </c>
    </row>
    <row r="3" spans="1:6" x14ac:dyDescent="0.25">
      <c r="A3" t="s">
        <v>124</v>
      </c>
      <c r="B3" s="79" t="s">
        <v>2</v>
      </c>
      <c r="C3" s="115">
        <v>15</v>
      </c>
    </row>
    <row r="4" spans="1:6" x14ac:dyDescent="0.25">
      <c r="A4" t="s">
        <v>126</v>
      </c>
      <c r="B4" s="79" t="s">
        <v>96</v>
      </c>
      <c r="C4" s="1">
        <f>100/C3</f>
        <v>6.666666666666667</v>
      </c>
    </row>
    <row r="5" spans="1:6" x14ac:dyDescent="0.25">
      <c r="A5" t="s">
        <v>125</v>
      </c>
      <c r="B5" s="79" t="s">
        <v>1</v>
      </c>
      <c r="C5" s="121">
        <v>67000</v>
      </c>
    </row>
    <row r="6" spans="1:6" x14ac:dyDescent="0.25">
      <c r="A6" t="s">
        <v>128</v>
      </c>
      <c r="B6" s="79" t="s">
        <v>2</v>
      </c>
      <c r="C6" s="118">
        <v>15</v>
      </c>
    </row>
    <row r="7" spans="1:6" ht="15.75" thickBot="1" x14ac:dyDescent="0.3">
      <c r="A7" t="s">
        <v>127</v>
      </c>
      <c r="B7" s="79" t="s">
        <v>1</v>
      </c>
      <c r="C7" s="2">
        <f>((C2-C5)*(C4%*C6))</f>
        <v>55505</v>
      </c>
    </row>
    <row r="8" spans="1:6" ht="15.75" thickBot="1" x14ac:dyDescent="0.3">
      <c r="A8" s="181" t="s">
        <v>116</v>
      </c>
      <c r="B8" s="182"/>
      <c r="C8" s="183">
        <f>'Mão de obra'!B1</f>
        <v>1</v>
      </c>
    </row>
    <row r="9" spans="1:6" ht="18.75" thickBot="1" x14ac:dyDescent="0.3">
      <c r="A9" s="200" t="s">
        <v>215</v>
      </c>
      <c r="B9" s="201"/>
      <c r="C9" s="201"/>
      <c r="D9" s="201"/>
      <c r="E9" s="201"/>
      <c r="F9" s="202"/>
    </row>
    <row r="10" spans="1:6" ht="15.75" thickBot="1" x14ac:dyDescent="0.3">
      <c r="A10" s="184" t="s">
        <v>216</v>
      </c>
      <c r="B10" s="46"/>
      <c r="C10" s="46"/>
      <c r="D10" s="42"/>
      <c r="E10" s="42"/>
      <c r="F10" s="42"/>
    </row>
    <row r="11" spans="1:6" ht="15.75" thickBot="1" x14ac:dyDescent="0.3">
      <c r="A11" s="35" t="s">
        <v>84</v>
      </c>
      <c r="B11" s="36" t="s">
        <v>85</v>
      </c>
      <c r="C11" s="36" t="s">
        <v>86</v>
      </c>
      <c r="D11" s="37" t="s">
        <v>87</v>
      </c>
      <c r="E11" s="37" t="s">
        <v>88</v>
      </c>
      <c r="F11" s="38" t="s">
        <v>89</v>
      </c>
    </row>
    <row r="12" spans="1:6" x14ac:dyDescent="0.25">
      <c r="A12" s="39" t="s">
        <v>178</v>
      </c>
      <c r="B12" s="40" t="s">
        <v>0</v>
      </c>
      <c r="C12" s="40">
        <v>1</v>
      </c>
      <c r="D12" s="114">
        <f>C2</f>
        <v>122505</v>
      </c>
      <c r="E12" s="41">
        <f>C12*D12</f>
        <v>122505</v>
      </c>
      <c r="F12" s="42"/>
    </row>
    <row r="13" spans="1:6" x14ac:dyDescent="0.25">
      <c r="A13" s="43" t="s">
        <v>176</v>
      </c>
      <c r="B13" s="44" t="s">
        <v>2</v>
      </c>
      <c r="C13" s="117">
        <f>C3</f>
        <v>15</v>
      </c>
      <c r="D13" s="47"/>
      <c r="E13" s="45"/>
      <c r="F13" s="42"/>
    </row>
    <row r="14" spans="1:6" x14ac:dyDescent="0.25">
      <c r="A14" s="43" t="s">
        <v>174</v>
      </c>
      <c r="B14" s="44" t="s">
        <v>2</v>
      </c>
      <c r="C14" s="116">
        <f>C6</f>
        <v>15</v>
      </c>
      <c r="D14" s="45"/>
      <c r="E14" s="45"/>
      <c r="F14" s="70"/>
    </row>
    <row r="15" spans="1:6" x14ac:dyDescent="0.25">
      <c r="A15" s="43" t="s">
        <v>175</v>
      </c>
      <c r="B15" s="44" t="s">
        <v>96</v>
      </c>
      <c r="C15" s="119">
        <v>100</v>
      </c>
      <c r="D15" s="45">
        <f>E12</f>
        <v>122505</v>
      </c>
      <c r="E15" s="45">
        <f>C15*(D15-C5)/100</f>
        <v>55505</v>
      </c>
      <c r="F15" s="42"/>
    </row>
    <row r="16" spans="1:6" ht="15.75" thickBot="1" x14ac:dyDescent="0.3">
      <c r="A16" s="72" t="s">
        <v>186</v>
      </c>
      <c r="B16" s="73" t="s">
        <v>90</v>
      </c>
      <c r="C16" s="73">
        <f>C13*12</f>
        <v>180</v>
      </c>
      <c r="D16" s="75">
        <f>IF(C14&lt;=C13,E15,0)</f>
        <v>55505</v>
      </c>
      <c r="E16" s="75">
        <f>IFERROR(D16/C16,0)</f>
        <v>308.36111111111109</v>
      </c>
      <c r="F16" s="42"/>
    </row>
    <row r="17" spans="1:6" ht="15.75" thickTop="1" x14ac:dyDescent="0.25">
      <c r="A17" s="48" t="s">
        <v>120</v>
      </c>
      <c r="B17" s="49"/>
      <c r="C17" s="49"/>
      <c r="D17" s="50"/>
      <c r="E17" s="51">
        <f>E16</f>
        <v>308.36111111111109</v>
      </c>
      <c r="F17" s="42"/>
    </row>
    <row r="18" spans="1:6" ht="15.75" thickBot="1" x14ac:dyDescent="0.3">
      <c r="A18" s="56" t="s">
        <v>121</v>
      </c>
      <c r="B18" s="76" t="s">
        <v>0</v>
      </c>
      <c r="C18" s="120">
        <v>1</v>
      </c>
      <c r="D18" s="57">
        <f>E17</f>
        <v>308.36111111111109</v>
      </c>
      <c r="E18" s="51">
        <f>C18*D18</f>
        <v>308.36111111111109</v>
      </c>
      <c r="F18" s="42"/>
    </row>
    <row r="19" spans="1:6" ht="15.75" thickBot="1" x14ac:dyDescent="0.3">
      <c r="A19" s="113"/>
      <c r="B19" s="113"/>
      <c r="C19" s="113"/>
      <c r="D19" s="53" t="s">
        <v>101</v>
      </c>
      <c r="E19" s="54">
        <f>C8</f>
        <v>1</v>
      </c>
      <c r="F19" s="78">
        <f>E18*E19</f>
        <v>308.36111111111109</v>
      </c>
    </row>
    <row r="20" spans="1:6" x14ac:dyDescent="0.25">
      <c r="C20" s="80"/>
      <c r="F20" s="42"/>
    </row>
    <row r="21" spans="1:6" x14ac:dyDescent="0.25">
      <c r="C21" s="80"/>
      <c r="F21" s="42"/>
    </row>
    <row r="22" spans="1:6" x14ac:dyDescent="0.25">
      <c r="F22" s="42"/>
    </row>
    <row r="23" spans="1:6" ht="15.75" thickBot="1" x14ac:dyDescent="0.3">
      <c r="A23" s="184" t="s">
        <v>217</v>
      </c>
      <c r="B23" s="46"/>
      <c r="C23" s="46"/>
      <c r="D23" s="42"/>
      <c r="E23" s="42"/>
      <c r="F23" s="42"/>
    </row>
    <row r="24" spans="1:6" ht="15.75" thickBot="1" x14ac:dyDescent="0.3">
      <c r="A24" s="67" t="s">
        <v>84</v>
      </c>
      <c r="B24" s="68" t="s">
        <v>85</v>
      </c>
      <c r="C24" s="68" t="s">
        <v>86</v>
      </c>
      <c r="D24" s="37" t="s">
        <v>87</v>
      </c>
      <c r="E24" s="69" t="s">
        <v>88</v>
      </c>
      <c r="F24" s="38" t="s">
        <v>89</v>
      </c>
    </row>
    <row r="25" spans="1:6" x14ac:dyDescent="0.25">
      <c r="A25" s="43" t="s">
        <v>117</v>
      </c>
      <c r="B25" s="44" t="s">
        <v>0</v>
      </c>
      <c r="C25" s="40">
        <v>1</v>
      </c>
      <c r="D25" s="45">
        <f>C2</f>
        <v>122505</v>
      </c>
      <c r="E25" s="45">
        <f>C25*D25</f>
        <v>122505</v>
      </c>
    </row>
    <row r="26" spans="1:6" x14ac:dyDescent="0.25">
      <c r="A26" s="43" t="s">
        <v>118</v>
      </c>
      <c r="B26" s="44" t="s">
        <v>96</v>
      </c>
      <c r="C26" s="120">
        <v>15</v>
      </c>
      <c r="D26" s="45"/>
      <c r="E26" s="45"/>
    </row>
    <row r="27" spans="1:6" x14ac:dyDescent="0.25">
      <c r="A27" s="43" t="s">
        <v>123</v>
      </c>
      <c r="B27" s="44" t="s">
        <v>1</v>
      </c>
      <c r="C27" s="71">
        <f>C2-C5-C7</f>
        <v>0</v>
      </c>
      <c r="D27" s="45"/>
      <c r="E27" s="45"/>
    </row>
    <row r="28" spans="1:6" x14ac:dyDescent="0.25">
      <c r="A28" s="43" t="s">
        <v>130</v>
      </c>
      <c r="B28" s="44" t="s">
        <v>1</v>
      </c>
      <c r="C28" s="47">
        <f>((C2-C7)-(C5))*((C3+1)/(2*C3))+(C5)</f>
        <v>67000</v>
      </c>
      <c r="D28" s="45"/>
      <c r="E28" s="45"/>
      <c r="F28" s="42"/>
    </row>
    <row r="29" spans="1:6" ht="15.75" thickBot="1" x14ac:dyDescent="0.3">
      <c r="A29" s="72" t="s">
        <v>119</v>
      </c>
      <c r="B29" s="73" t="s">
        <v>1</v>
      </c>
      <c r="C29" s="73"/>
      <c r="D29" s="74">
        <f>C26*C28/12/100</f>
        <v>837.5</v>
      </c>
      <c r="E29" s="75">
        <f>D29</f>
        <v>837.5</v>
      </c>
    </row>
    <row r="30" spans="1:6" ht="15.75" thickTop="1" x14ac:dyDescent="0.25">
      <c r="A30" s="48" t="s">
        <v>120</v>
      </c>
      <c r="B30" s="49"/>
      <c r="C30" s="49"/>
      <c r="D30" s="50"/>
      <c r="E30" s="51">
        <f>E29</f>
        <v>837.5</v>
      </c>
      <c r="F30" s="70"/>
    </row>
    <row r="31" spans="1:6" ht="15.75" thickBot="1" x14ac:dyDescent="0.3">
      <c r="A31" s="56" t="s">
        <v>121</v>
      </c>
      <c r="B31" s="76" t="s">
        <v>0</v>
      </c>
      <c r="C31" s="44">
        <v>1</v>
      </c>
      <c r="D31" s="57">
        <f>E30</f>
        <v>837.5</v>
      </c>
      <c r="E31" s="51">
        <f>C31*D31</f>
        <v>837.5</v>
      </c>
      <c r="F31" s="70"/>
    </row>
    <row r="32" spans="1:6" ht="15.75" thickBot="1" x14ac:dyDescent="0.3">
      <c r="A32" s="46"/>
      <c r="B32" s="46"/>
      <c r="C32" s="77"/>
      <c r="D32" s="53" t="s">
        <v>101</v>
      </c>
      <c r="E32" s="54">
        <f>C8</f>
        <v>1</v>
      </c>
      <c r="F32" s="78">
        <f>E31*E32</f>
        <v>837.5</v>
      </c>
    </row>
    <row r="33" spans="1:6" x14ac:dyDescent="0.25">
      <c r="F33" s="70"/>
    </row>
    <row r="34" spans="1:6" x14ac:dyDescent="0.25">
      <c r="F34" s="70"/>
    </row>
    <row r="35" spans="1:6" x14ac:dyDescent="0.25">
      <c r="A35" t="s">
        <v>122</v>
      </c>
      <c r="F35" s="70"/>
    </row>
    <row r="36" spans="1:6" x14ac:dyDescent="0.25">
      <c r="F36" s="70"/>
    </row>
  </sheetData>
  <mergeCells count="1">
    <mergeCell ref="A9:F9"/>
  </mergeCells>
  <hyperlinks>
    <hyperlink ref="A23" location="AbaRemun" display="3.1.2. Remuneração do Capital" xr:uid="{00000000-0004-0000-0300-000000000000}"/>
    <hyperlink ref="A10" location="AbaDeprec" display="3.1.1. Depreciação" xr:uid="{00000000-0004-0000-0300-000001000000}"/>
  </hyperlink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4"/>
  <sheetViews>
    <sheetView workbookViewId="0">
      <selection activeCell="B15" sqref="B15"/>
    </sheetView>
  </sheetViews>
  <sheetFormatPr defaultRowHeight="15" x14ac:dyDescent="0.25"/>
  <cols>
    <col min="1" max="1" width="41.7109375" bestFit="1" customWidth="1"/>
    <col min="2" max="2" width="13.7109375" bestFit="1" customWidth="1"/>
    <col min="3" max="3" width="10.28515625" bestFit="1" customWidth="1"/>
    <col min="4" max="4" width="17.7109375" bestFit="1" customWidth="1"/>
    <col min="5" max="5" width="9.28515625" customWidth="1"/>
    <col min="6" max="6" width="11.5703125" bestFit="1" customWidth="1"/>
  </cols>
  <sheetData>
    <row r="1" spans="1:6" ht="15.75" thickBot="1" x14ac:dyDescent="0.3">
      <c r="A1" s="157" t="s">
        <v>116</v>
      </c>
      <c r="B1" s="158">
        <f>'Mão de obra'!B1</f>
        <v>1</v>
      </c>
    </row>
    <row r="2" spans="1:6" ht="15.75" thickBot="1" x14ac:dyDescent="0.3">
      <c r="A2" s="159"/>
      <c r="B2" s="160"/>
    </row>
    <row r="3" spans="1:6" ht="18.75" thickBot="1" x14ac:dyDescent="0.3">
      <c r="A3" s="203" t="s">
        <v>207</v>
      </c>
      <c r="B3" s="204"/>
      <c r="C3" s="204"/>
      <c r="D3" s="204"/>
      <c r="E3" s="204"/>
      <c r="F3" s="205"/>
    </row>
    <row r="4" spans="1:6" ht="15.75" thickBot="1" x14ac:dyDescent="0.3">
      <c r="A4" s="46" t="s">
        <v>208</v>
      </c>
      <c r="B4" s="46"/>
      <c r="C4" s="46"/>
      <c r="D4" s="42"/>
      <c r="E4" s="42"/>
      <c r="F4" s="42"/>
    </row>
    <row r="5" spans="1:6" ht="15.75" thickBot="1" x14ac:dyDescent="0.3">
      <c r="A5" s="35" t="s">
        <v>84</v>
      </c>
      <c r="B5" s="36" t="s">
        <v>85</v>
      </c>
      <c r="C5" s="36" t="s">
        <v>86</v>
      </c>
      <c r="D5" s="37" t="s">
        <v>87</v>
      </c>
      <c r="E5" s="37" t="s">
        <v>88</v>
      </c>
      <c r="F5" s="38" t="s">
        <v>89</v>
      </c>
    </row>
    <row r="6" spans="1:6" x14ac:dyDescent="0.25">
      <c r="A6" s="39" t="s">
        <v>131</v>
      </c>
      <c r="B6" s="40" t="s">
        <v>0</v>
      </c>
      <c r="C6" s="41">
        <f>'Remuneração de capital'!C31</f>
        <v>1</v>
      </c>
      <c r="D6" s="187">
        <v>0</v>
      </c>
      <c r="E6" s="41">
        <f>C6*D6</f>
        <v>0</v>
      </c>
      <c r="F6" s="42">
        <f>E6*E10</f>
        <v>0</v>
      </c>
    </row>
    <row r="7" spans="1:6" x14ac:dyDescent="0.25">
      <c r="A7" s="43" t="s">
        <v>132</v>
      </c>
      <c r="B7" s="44" t="s">
        <v>0</v>
      </c>
      <c r="C7" s="41">
        <f>'Remuneração de capital'!C31</f>
        <v>1</v>
      </c>
      <c r="D7" s="134">
        <v>200</v>
      </c>
      <c r="E7" s="45">
        <f>C7*D7</f>
        <v>200</v>
      </c>
      <c r="F7" s="42">
        <f>E7*E10</f>
        <v>200</v>
      </c>
    </row>
    <row r="8" spans="1:6" x14ac:dyDescent="0.25">
      <c r="A8" s="147" t="s">
        <v>133</v>
      </c>
      <c r="B8" s="44" t="s">
        <v>0</v>
      </c>
      <c r="C8" s="41">
        <f>'Remuneração de capital'!C31</f>
        <v>1</v>
      </c>
      <c r="D8" s="134">
        <v>2000</v>
      </c>
      <c r="E8" s="45">
        <f>C8*D8</f>
        <v>2000</v>
      </c>
      <c r="F8" s="81">
        <f>E8*E10</f>
        <v>2000</v>
      </c>
    </row>
    <row r="9" spans="1:6" ht="15.75" thickBot="1" x14ac:dyDescent="0.3">
      <c r="A9" s="56" t="s">
        <v>134</v>
      </c>
      <c r="B9" s="76" t="s">
        <v>90</v>
      </c>
      <c r="C9" s="76">
        <v>12</v>
      </c>
      <c r="D9" s="57">
        <f>SUM(E6:E8)</f>
        <v>2200</v>
      </c>
      <c r="E9" s="57">
        <f>D9/C9</f>
        <v>183.33333333333334</v>
      </c>
      <c r="F9" s="42"/>
    </row>
    <row r="10" spans="1:6" ht="15.75" thickBot="1" x14ac:dyDescent="0.3">
      <c r="A10" s="46"/>
      <c r="B10" s="46"/>
      <c r="C10" s="46"/>
      <c r="D10" s="53" t="s">
        <v>101</v>
      </c>
      <c r="E10" s="54">
        <f>B1</f>
        <v>1</v>
      </c>
      <c r="F10" s="55">
        <f>E9*E10</f>
        <v>183.33333333333334</v>
      </c>
    </row>
    <row r="11" spans="1:6" x14ac:dyDescent="0.25">
      <c r="A11" s="46"/>
      <c r="B11" s="46"/>
      <c r="C11" s="46"/>
      <c r="D11" s="42"/>
      <c r="E11" s="42"/>
      <c r="F11" s="42"/>
    </row>
    <row r="12" spans="1:6" x14ac:dyDescent="0.25">
      <c r="A12" s="46" t="s">
        <v>209</v>
      </c>
      <c r="B12" s="82"/>
      <c r="C12" s="46"/>
      <c r="D12" s="42"/>
      <c r="E12" s="42"/>
      <c r="F12" s="42"/>
    </row>
    <row r="13" spans="1:6" x14ac:dyDescent="0.25">
      <c r="A13" s="46"/>
      <c r="B13" s="82"/>
      <c r="C13" s="46"/>
      <c r="D13" s="42"/>
      <c r="E13" s="42"/>
      <c r="F13" s="42"/>
    </row>
    <row r="14" spans="1:6" x14ac:dyDescent="0.25">
      <c r="A14" s="56" t="s">
        <v>135</v>
      </c>
      <c r="B14" s="190">
        <v>2894</v>
      </c>
      <c r="C14" s="46"/>
      <c r="D14" s="42"/>
      <c r="E14" s="42"/>
      <c r="F14" s="42"/>
    </row>
    <row r="15" spans="1:6" ht="15.75" thickBot="1" x14ac:dyDescent="0.3">
      <c r="A15" s="46"/>
      <c r="B15" s="82"/>
      <c r="C15" s="46"/>
      <c r="D15" s="42"/>
      <c r="E15" s="42"/>
      <c r="F15" s="42"/>
    </row>
    <row r="16" spans="1:6" ht="15.75" thickBot="1" x14ac:dyDescent="0.3">
      <c r="A16" s="35" t="s">
        <v>84</v>
      </c>
      <c r="B16" s="36" t="s">
        <v>85</v>
      </c>
      <c r="C16" s="36" t="s">
        <v>136</v>
      </c>
      <c r="D16" s="37" t="s">
        <v>87</v>
      </c>
      <c r="E16" s="37" t="s">
        <v>88</v>
      </c>
      <c r="F16" s="38" t="s">
        <v>89</v>
      </c>
    </row>
    <row r="17" spans="1:6" x14ac:dyDescent="0.25">
      <c r="A17" s="39" t="s">
        <v>137</v>
      </c>
      <c r="B17" s="40" t="s">
        <v>3</v>
      </c>
      <c r="C17" s="135">
        <v>5</v>
      </c>
      <c r="D17" s="136">
        <v>6.18</v>
      </c>
      <c r="E17" s="41"/>
      <c r="F17" s="42"/>
    </row>
    <row r="18" spans="1:6" x14ac:dyDescent="0.25">
      <c r="A18" s="43" t="s">
        <v>138</v>
      </c>
      <c r="B18" s="44" t="s">
        <v>4</v>
      </c>
      <c r="C18" s="62">
        <f>B14</f>
        <v>2894</v>
      </c>
      <c r="D18" s="83">
        <f>IFERROR(+D17/C17,"-")</f>
        <v>1.236</v>
      </c>
      <c r="E18" s="45">
        <f>IFERROR(C18*D18,"-")</f>
        <v>3576.9839999999999</v>
      </c>
      <c r="F18" s="42"/>
    </row>
    <row r="19" spans="1:6" x14ac:dyDescent="0.25">
      <c r="A19" s="43" t="s">
        <v>139</v>
      </c>
      <c r="B19" s="44" t="s">
        <v>140</v>
      </c>
      <c r="C19" s="137">
        <v>1.5</v>
      </c>
      <c r="D19" s="134">
        <v>25</v>
      </c>
      <c r="E19" s="45"/>
      <c r="F19" s="42"/>
    </row>
    <row r="20" spans="1:6" x14ac:dyDescent="0.25">
      <c r="A20" s="43" t="s">
        <v>141</v>
      </c>
      <c r="B20" s="44" t="s">
        <v>4</v>
      </c>
      <c r="C20" s="62">
        <f>C18</f>
        <v>2894</v>
      </c>
      <c r="D20" s="84">
        <f>+C19*D19/1000</f>
        <v>3.7499999999999999E-2</v>
      </c>
      <c r="E20" s="45">
        <f>C20*D20</f>
        <v>108.52499999999999</v>
      </c>
      <c r="F20" s="42"/>
    </row>
    <row r="21" spans="1:6" x14ac:dyDescent="0.25">
      <c r="A21" s="43" t="s">
        <v>142</v>
      </c>
      <c r="B21" s="44" t="s">
        <v>140</v>
      </c>
      <c r="C21" s="137">
        <v>3</v>
      </c>
      <c r="D21" s="134">
        <v>20</v>
      </c>
      <c r="E21" s="45"/>
      <c r="F21" s="42"/>
    </row>
    <row r="22" spans="1:6" x14ac:dyDescent="0.25">
      <c r="A22" s="43" t="s">
        <v>143</v>
      </c>
      <c r="B22" s="44" t="s">
        <v>4</v>
      </c>
      <c r="C22" s="62">
        <f>C18</f>
        <v>2894</v>
      </c>
      <c r="D22" s="84">
        <f>+C21*D21/1000</f>
        <v>0.06</v>
      </c>
      <c r="E22" s="45">
        <f>C22*D22</f>
        <v>173.64</v>
      </c>
      <c r="F22" s="42"/>
    </row>
    <row r="23" spans="1:6" x14ac:dyDescent="0.25">
      <c r="A23" s="43" t="s">
        <v>144</v>
      </c>
      <c r="B23" s="44" t="s">
        <v>140</v>
      </c>
      <c r="C23" s="137">
        <v>4</v>
      </c>
      <c r="D23" s="134">
        <v>18</v>
      </c>
      <c r="E23" s="45"/>
      <c r="F23" s="42"/>
    </row>
    <row r="24" spans="1:6" x14ac:dyDescent="0.25">
      <c r="A24" s="43" t="s">
        <v>145</v>
      </c>
      <c r="B24" s="44" t="s">
        <v>4</v>
      </c>
      <c r="C24" s="62">
        <f>C18</f>
        <v>2894</v>
      </c>
      <c r="D24" s="84">
        <f>+C23*D23/1000</f>
        <v>7.1999999999999995E-2</v>
      </c>
      <c r="E24" s="45">
        <f>C24*D24</f>
        <v>208.36799999999999</v>
      </c>
      <c r="F24" s="42"/>
    </row>
    <row r="25" spans="1:6" x14ac:dyDescent="0.25">
      <c r="A25" s="43" t="s">
        <v>146</v>
      </c>
      <c r="B25" s="44" t="s">
        <v>147</v>
      </c>
      <c r="C25" s="137">
        <v>0.3</v>
      </c>
      <c r="D25" s="134">
        <v>40</v>
      </c>
      <c r="E25" s="45"/>
      <c r="F25" s="42"/>
    </row>
    <row r="26" spans="1:6" x14ac:dyDescent="0.25">
      <c r="A26" s="43" t="s">
        <v>148</v>
      </c>
      <c r="B26" s="44" t="s">
        <v>4</v>
      </c>
      <c r="C26" s="62">
        <f>C18</f>
        <v>2894</v>
      </c>
      <c r="D26" s="84">
        <f>+C25*D25/1000</f>
        <v>1.2E-2</v>
      </c>
      <c r="E26" s="45">
        <f>C26*D26</f>
        <v>34.728000000000002</v>
      </c>
      <c r="F26" s="42"/>
    </row>
    <row r="27" spans="1:6" ht="15.75" thickBot="1" x14ac:dyDescent="0.3">
      <c r="A27" s="56" t="s">
        <v>149</v>
      </c>
      <c r="B27" s="76" t="s">
        <v>150</v>
      </c>
      <c r="C27" s="85"/>
      <c r="D27" s="86">
        <f>IFERROR(D18+D20+D22+D24+D26,0)</f>
        <v>1.4175000000000002</v>
      </c>
      <c r="E27" s="45"/>
      <c r="F27" s="42"/>
    </row>
    <row r="28" spans="1:6" ht="15.75" thickBot="1" x14ac:dyDescent="0.3">
      <c r="A28" s="46"/>
      <c r="B28" s="46"/>
      <c r="C28" s="46"/>
      <c r="D28" s="42"/>
      <c r="E28" s="42"/>
      <c r="F28" s="78">
        <f>SUM(E17:E26)</f>
        <v>4102.2449999999999</v>
      </c>
    </row>
    <row r="29" spans="1:6" x14ac:dyDescent="0.25">
      <c r="A29" s="46"/>
      <c r="B29" s="46"/>
      <c r="C29" s="46"/>
      <c r="D29" s="42"/>
      <c r="E29" s="42"/>
      <c r="F29" s="42"/>
    </row>
    <row r="30" spans="1:6" ht="15.75" thickBot="1" x14ac:dyDescent="0.3">
      <c r="A30" s="46" t="s">
        <v>210</v>
      </c>
      <c r="B30" s="46"/>
      <c r="C30" s="46"/>
      <c r="D30" s="42"/>
      <c r="E30" s="42"/>
      <c r="F30" s="42"/>
    </row>
    <row r="31" spans="1:6" ht="15.75" thickBot="1" x14ac:dyDescent="0.3">
      <c r="A31" s="35" t="s">
        <v>84</v>
      </c>
      <c r="B31" s="36" t="s">
        <v>85</v>
      </c>
      <c r="C31" s="36" t="s">
        <v>86</v>
      </c>
      <c r="D31" s="37" t="s">
        <v>87</v>
      </c>
      <c r="E31" s="37" t="s">
        <v>88</v>
      </c>
      <c r="F31" s="38" t="s">
        <v>89</v>
      </c>
    </row>
    <row r="32" spans="1:6" ht="15.75" thickBot="1" x14ac:dyDescent="0.3">
      <c r="A32" s="39" t="s">
        <v>156</v>
      </c>
      <c r="B32" s="40" t="s">
        <v>150</v>
      </c>
      <c r="C32" s="62">
        <f>B14</f>
        <v>2894</v>
      </c>
      <c r="D32" s="129">
        <v>0.5</v>
      </c>
      <c r="E32" s="41">
        <f>C32*D32</f>
        <v>1447</v>
      </c>
      <c r="F32" s="42"/>
    </row>
    <row r="33" spans="1:6" ht="15.75" thickBot="1" x14ac:dyDescent="0.3">
      <c r="A33" s="46"/>
      <c r="B33" s="46"/>
      <c r="C33" s="46"/>
      <c r="D33" s="42"/>
      <c r="E33" s="42"/>
      <c r="F33" s="78">
        <f>E32</f>
        <v>1447</v>
      </c>
    </row>
    <row r="34" spans="1:6" x14ac:dyDescent="0.25">
      <c r="A34" s="46"/>
      <c r="B34" s="46"/>
      <c r="C34" s="46"/>
      <c r="D34" s="42"/>
      <c r="E34" s="42"/>
      <c r="F34" s="42"/>
    </row>
    <row r="35" spans="1:6" ht="15.75" thickBot="1" x14ac:dyDescent="0.3">
      <c r="A35" s="46" t="s">
        <v>211</v>
      </c>
      <c r="B35" s="46"/>
      <c r="C35" s="46"/>
      <c r="D35" s="42"/>
      <c r="E35" s="42"/>
      <c r="F35" s="42"/>
    </row>
    <row r="36" spans="1:6" ht="15.75" thickBot="1" x14ac:dyDescent="0.3">
      <c r="A36" s="35" t="s">
        <v>84</v>
      </c>
      <c r="B36" s="36" t="s">
        <v>85</v>
      </c>
      <c r="C36" s="36" t="s">
        <v>86</v>
      </c>
      <c r="D36" s="37" t="s">
        <v>87</v>
      </c>
      <c r="E36" s="37" t="s">
        <v>88</v>
      </c>
      <c r="F36" s="38" t="s">
        <v>89</v>
      </c>
    </row>
    <row r="37" spans="1:6" x14ac:dyDescent="0.25">
      <c r="A37" s="39" t="s">
        <v>220</v>
      </c>
      <c r="B37" s="40" t="s">
        <v>0</v>
      </c>
      <c r="C37" s="138">
        <v>4</v>
      </c>
      <c r="D37" s="188">
        <v>700</v>
      </c>
      <c r="E37" s="41">
        <f>C37*D37</f>
        <v>2800</v>
      </c>
      <c r="F37" s="42"/>
    </row>
    <row r="38" spans="1:6" x14ac:dyDescent="0.25">
      <c r="A38" s="39" t="s">
        <v>151</v>
      </c>
      <c r="B38" s="40" t="s">
        <v>0</v>
      </c>
      <c r="C38" s="138">
        <v>3</v>
      </c>
      <c r="D38" s="87"/>
      <c r="E38" s="41"/>
      <c r="F38" s="42"/>
    </row>
    <row r="39" spans="1:6" x14ac:dyDescent="0.25">
      <c r="A39" s="39" t="s">
        <v>152</v>
      </c>
      <c r="B39" s="40" t="s">
        <v>0</v>
      </c>
      <c r="C39" s="41">
        <f>C37*C38</f>
        <v>12</v>
      </c>
      <c r="D39" s="129">
        <v>580</v>
      </c>
      <c r="E39" s="41">
        <f>C39*D39</f>
        <v>6960</v>
      </c>
      <c r="F39" s="42"/>
    </row>
    <row r="40" spans="1:6" x14ac:dyDescent="0.25">
      <c r="A40" s="43" t="s">
        <v>153</v>
      </c>
      <c r="B40" s="44" t="s">
        <v>154</v>
      </c>
      <c r="C40" s="139">
        <v>8000</v>
      </c>
      <c r="D40" s="45">
        <f>E37+E39</f>
        <v>9760</v>
      </c>
      <c r="E40" s="45">
        <f>IFERROR(D40/C40,"-")</f>
        <v>1.22</v>
      </c>
      <c r="F40" s="42"/>
    </row>
    <row r="41" spans="1:6" ht="15.75" thickBot="1" x14ac:dyDescent="0.3">
      <c r="A41" s="43" t="s">
        <v>155</v>
      </c>
      <c r="B41" s="44" t="s">
        <v>4</v>
      </c>
      <c r="C41" s="62">
        <f>B14</f>
        <v>2894</v>
      </c>
      <c r="D41" s="45">
        <f>E40</f>
        <v>1.22</v>
      </c>
      <c r="E41" s="45">
        <f>IFERROR(C41*D41,0)</f>
        <v>3530.68</v>
      </c>
      <c r="F41" s="42"/>
    </row>
    <row r="42" spans="1:6" ht="15.75" thickBot="1" x14ac:dyDescent="0.3">
      <c r="A42" s="46"/>
      <c r="B42" s="46"/>
      <c r="C42" s="46"/>
      <c r="D42" s="42"/>
      <c r="E42" s="42"/>
      <c r="F42" s="78">
        <f>E41</f>
        <v>3530.68</v>
      </c>
    </row>
    <row r="43" spans="1:6" ht="15.75" thickBot="1" x14ac:dyDescent="0.3">
      <c r="A43" s="46"/>
      <c r="B43" s="46"/>
      <c r="C43" s="46"/>
      <c r="D43" s="42"/>
      <c r="E43" s="42"/>
      <c r="F43" s="42"/>
    </row>
    <row r="44" spans="1:6" ht="15.75" thickBot="1" x14ac:dyDescent="0.3">
      <c r="A44" s="154" t="s">
        <v>181</v>
      </c>
      <c r="B44" s="161" t="s">
        <v>179</v>
      </c>
      <c r="C44" s="153"/>
      <c r="D44" s="153"/>
      <c r="E44" s="153"/>
      <c r="F44" s="155">
        <f>F10+F28+F33+F42</f>
        <v>9263.2583333333332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scale="88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2"/>
  <sheetViews>
    <sheetView workbookViewId="0">
      <selection activeCell="C6" sqref="C6"/>
    </sheetView>
  </sheetViews>
  <sheetFormatPr defaultRowHeight="15" x14ac:dyDescent="0.25"/>
  <cols>
    <col min="1" max="1" width="49.28515625" customWidth="1"/>
    <col min="2" max="2" width="8.42578125" customWidth="1"/>
    <col min="3" max="3" width="10.28515625" bestFit="1" customWidth="1"/>
    <col min="4" max="4" width="13.5703125" bestFit="1" customWidth="1"/>
    <col min="5" max="5" width="9.28515625" bestFit="1" customWidth="1"/>
    <col min="6" max="6" width="10.5703125" bestFit="1" customWidth="1"/>
  </cols>
  <sheetData>
    <row r="1" spans="1:6" ht="15.75" thickBot="1" x14ac:dyDescent="0.3"/>
    <row r="2" spans="1:6" ht="18.75" thickBot="1" x14ac:dyDescent="0.3">
      <c r="A2" s="206" t="s">
        <v>212</v>
      </c>
      <c r="B2" s="207"/>
      <c r="C2" s="207"/>
      <c r="D2" s="207"/>
      <c r="E2" s="207"/>
      <c r="F2" s="208"/>
    </row>
    <row r="3" spans="1:6" x14ac:dyDescent="0.25">
      <c r="A3" s="88" t="s">
        <v>157</v>
      </c>
      <c r="B3" s="89" t="s">
        <v>158</v>
      </c>
      <c r="C3" s="140">
        <v>0</v>
      </c>
      <c r="D3" s="90"/>
      <c r="E3" s="91"/>
      <c r="F3" s="92"/>
    </row>
    <row r="4" spans="1:6" x14ac:dyDescent="0.25">
      <c r="A4" s="93" t="s">
        <v>159</v>
      </c>
      <c r="B4" s="94" t="s">
        <v>160</v>
      </c>
      <c r="C4" s="141">
        <v>0</v>
      </c>
      <c r="D4" s="90"/>
      <c r="E4" s="91"/>
      <c r="F4" s="92"/>
    </row>
    <row r="5" spans="1:6" x14ac:dyDescent="0.25">
      <c r="A5" s="93" t="s">
        <v>161</v>
      </c>
      <c r="B5" s="94" t="s">
        <v>162</v>
      </c>
      <c r="C5" s="141">
        <v>0.12</v>
      </c>
      <c r="D5" s="90"/>
      <c r="E5" s="91"/>
      <c r="F5" s="92"/>
    </row>
    <row r="6" spans="1:6" x14ac:dyDescent="0.25">
      <c r="A6" s="93" t="s">
        <v>163</v>
      </c>
      <c r="B6" s="94" t="s">
        <v>164</v>
      </c>
      <c r="C6" s="95">
        <f>(1+E6)^(E7/252)-1</f>
        <v>0</v>
      </c>
      <c r="D6" s="90" t="s">
        <v>165</v>
      </c>
      <c r="E6" s="143">
        <v>0.11749999999999999</v>
      </c>
      <c r="F6" s="96"/>
    </row>
    <row r="7" spans="1:6" x14ac:dyDescent="0.25">
      <c r="A7" s="93" t="s">
        <v>166</v>
      </c>
      <c r="B7" s="209" t="s">
        <v>167</v>
      </c>
      <c r="C7" s="141">
        <v>0.04</v>
      </c>
      <c r="D7" s="97" t="s">
        <v>168</v>
      </c>
      <c r="E7" s="144">
        <v>0</v>
      </c>
      <c r="F7" s="98"/>
    </row>
    <row r="8" spans="1:6" ht="15.75" thickBot="1" x14ac:dyDescent="0.3">
      <c r="A8" s="99" t="s">
        <v>169</v>
      </c>
      <c r="B8" s="210"/>
      <c r="C8" s="142">
        <v>3.6499999999999998E-2</v>
      </c>
      <c r="D8" s="100"/>
      <c r="E8" s="101"/>
      <c r="F8" s="98"/>
    </row>
    <row r="9" spans="1:6" x14ac:dyDescent="0.25">
      <c r="A9" s="102" t="s">
        <v>170</v>
      </c>
      <c r="B9" s="103"/>
      <c r="C9" s="104"/>
      <c r="D9" s="100"/>
      <c r="E9" s="101"/>
      <c r="F9" s="98"/>
    </row>
    <row r="10" spans="1:6" ht="15.75" thickBot="1" x14ac:dyDescent="0.3">
      <c r="A10" s="105" t="s">
        <v>171</v>
      </c>
      <c r="B10" s="106"/>
      <c r="C10" s="107"/>
      <c r="D10" s="100"/>
      <c r="E10" s="101"/>
      <c r="F10" s="98"/>
    </row>
    <row r="11" spans="1:6" ht="15.75" thickBot="1" x14ac:dyDescent="0.3">
      <c r="A11" s="108" t="s">
        <v>172</v>
      </c>
      <c r="B11" s="109"/>
      <c r="C11" s="162">
        <f>ROUND((((1+C3+C4)*(1+C5)*(1+C6))/(1-(C7+C8))-1),4)</f>
        <v>0.21279999999999999</v>
      </c>
      <c r="D11" s="110"/>
      <c r="E11" s="111"/>
      <c r="F11" s="112"/>
    </row>
    <row r="14" spans="1:6" ht="15.75" thickBot="1" x14ac:dyDescent="0.3"/>
    <row r="15" spans="1:6" ht="15.75" thickBot="1" x14ac:dyDescent="0.3">
      <c r="A15" s="151" t="s">
        <v>182</v>
      </c>
      <c r="B15" s="161" t="s">
        <v>179</v>
      </c>
      <c r="C15" s="152"/>
      <c r="D15" s="152"/>
      <c r="E15" s="152"/>
      <c r="F15" s="163">
        <f>'Mão de obra'!F59+'Impostos e manutenção'!F44</f>
        <v>19440.944231794871</v>
      </c>
    </row>
    <row r="17" spans="1:6" ht="15.75" thickBot="1" x14ac:dyDescent="0.3">
      <c r="A17" s="122" t="s">
        <v>213</v>
      </c>
    </row>
    <row r="18" spans="1:6" ht="15.75" thickBot="1" x14ac:dyDescent="0.3">
      <c r="A18" s="35" t="s">
        <v>84</v>
      </c>
      <c r="B18" s="36" t="s">
        <v>85</v>
      </c>
      <c r="C18" s="36" t="s">
        <v>86</v>
      </c>
      <c r="D18" s="37" t="s">
        <v>87</v>
      </c>
      <c r="E18" s="37" t="s">
        <v>88</v>
      </c>
      <c r="F18" s="38" t="s">
        <v>89</v>
      </c>
    </row>
    <row r="19" spans="1:6" ht="15.75" thickBot="1" x14ac:dyDescent="0.3">
      <c r="A19" s="39" t="s">
        <v>183</v>
      </c>
      <c r="B19" s="40" t="s">
        <v>96</v>
      </c>
      <c r="C19" s="119">
        <f>C11*100</f>
        <v>21.279999999999998</v>
      </c>
      <c r="D19" s="41">
        <f>+F15</f>
        <v>19440.944231794871</v>
      </c>
      <c r="E19" s="41">
        <f>C19*D19/100</f>
        <v>4137.0329325259481</v>
      </c>
      <c r="F19" s="42"/>
    </row>
    <row r="20" spans="1:6" ht="15.75" thickBot="1" x14ac:dyDescent="0.3">
      <c r="A20" s="46"/>
      <c r="B20" s="46"/>
      <c r="C20" s="46"/>
      <c r="D20" s="42"/>
      <c r="E20" s="42"/>
      <c r="F20" s="78">
        <f>+E19</f>
        <v>4137.0329325259481</v>
      </c>
    </row>
    <row r="21" spans="1:6" ht="15.75" thickBot="1" x14ac:dyDescent="0.3">
      <c r="A21" s="46"/>
      <c r="B21" s="46"/>
      <c r="C21" s="46"/>
      <c r="D21" s="42"/>
      <c r="E21" s="42"/>
      <c r="F21" s="42"/>
    </row>
    <row r="22" spans="1:6" ht="15.75" thickBot="1" x14ac:dyDescent="0.3">
      <c r="A22" s="123" t="s">
        <v>184</v>
      </c>
      <c r="B22" s="124"/>
      <c r="C22" s="124"/>
      <c r="D22" s="125"/>
      <c r="E22" s="126"/>
      <c r="F22" s="64">
        <f>F20</f>
        <v>4137.0329325259481</v>
      </c>
    </row>
  </sheetData>
  <mergeCells count="2">
    <mergeCell ref="A2:F2"/>
    <mergeCell ref="B7:B8"/>
  </mergeCells>
  <pageMargins left="0.511811024" right="0.511811024" top="0.78740157499999996" bottom="0.78740157499999996" header="0.31496062000000002" footer="0.31496062000000002"/>
  <pageSetup paperSize="9" scale="90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5"/>
  <sheetViews>
    <sheetView topLeftCell="A10" workbookViewId="0">
      <selection activeCell="B23" sqref="B23"/>
    </sheetView>
  </sheetViews>
  <sheetFormatPr defaultRowHeight="15" x14ac:dyDescent="0.25"/>
  <cols>
    <col min="1" max="1" width="39.42578125" bestFit="1" customWidth="1"/>
    <col min="2" max="2" width="21.28515625" style="127" customWidth="1"/>
    <col min="3" max="3" width="17.7109375" style="3" customWidth="1"/>
  </cols>
  <sheetData>
    <row r="1" spans="1:3" ht="18.75" thickBot="1" x14ac:dyDescent="0.3">
      <c r="A1" s="200" t="s">
        <v>214</v>
      </c>
      <c r="B1" s="211"/>
      <c r="C1" s="212"/>
    </row>
    <row r="2" spans="1:3" x14ac:dyDescent="0.25">
      <c r="A2" s="170" t="s">
        <v>31</v>
      </c>
      <c r="B2" s="169" t="s">
        <v>173</v>
      </c>
      <c r="C2" s="171" t="s">
        <v>96</v>
      </c>
    </row>
    <row r="3" spans="1:3" x14ac:dyDescent="0.25">
      <c r="A3" s="172" t="s">
        <v>83</v>
      </c>
      <c r="B3" s="148">
        <f>SUM(B4:B8)</f>
        <v>10177.685898461539</v>
      </c>
      <c r="C3" s="173">
        <f t="shared" ref="C3:C16" si="0">IFERROR(B3/$B$17,0)</f>
        <v>0.41165476755990194</v>
      </c>
    </row>
    <row r="4" spans="1:3" x14ac:dyDescent="0.25">
      <c r="A4" s="174" t="s">
        <v>187</v>
      </c>
      <c r="B4" s="149">
        <f>'Mão de obra'!F17</f>
        <v>4525.336875</v>
      </c>
      <c r="C4" s="175">
        <f t="shared" si="0"/>
        <v>0.18303536953227953</v>
      </c>
    </row>
    <row r="5" spans="1:3" x14ac:dyDescent="0.25">
      <c r="A5" s="174" t="s">
        <v>188</v>
      </c>
      <c r="B5" s="149">
        <f>'Mão de obra'!F38</f>
        <v>3417.127485</v>
      </c>
      <c r="C5" s="175">
        <f t="shared" si="0"/>
        <v>0.13821185233991756</v>
      </c>
    </row>
    <row r="6" spans="1:3" x14ac:dyDescent="0.25">
      <c r="A6" s="174" t="s">
        <v>189</v>
      </c>
      <c r="B6" s="149">
        <f>'Mão de obra'!F46</f>
        <v>166.02153846153846</v>
      </c>
      <c r="C6" s="175">
        <f t="shared" si="0"/>
        <v>6.7150390085876747E-3</v>
      </c>
    </row>
    <row r="7" spans="1:3" x14ac:dyDescent="0.25">
      <c r="A7" s="174" t="s">
        <v>190</v>
      </c>
      <c r="B7" s="149">
        <f>'Mão de obra'!F51</f>
        <v>1277.2</v>
      </c>
      <c r="C7" s="175">
        <f t="shared" si="0"/>
        <v>5.1658645626603744E-2</v>
      </c>
    </row>
    <row r="8" spans="1:3" x14ac:dyDescent="0.25">
      <c r="A8" s="174" t="s">
        <v>191</v>
      </c>
      <c r="B8" s="149">
        <f>'Mão de obra'!F56</f>
        <v>792</v>
      </c>
      <c r="C8" s="175">
        <f t="shared" si="0"/>
        <v>3.2033861052513442E-2</v>
      </c>
    </row>
    <row r="9" spans="1:3" x14ac:dyDescent="0.25">
      <c r="A9" s="172" t="s">
        <v>192</v>
      </c>
      <c r="B9" s="148">
        <f>SUM(B10:B15)</f>
        <v>10409.119444444445</v>
      </c>
      <c r="C9" s="176">
        <f t="shared" si="0"/>
        <v>0.42101551257872377</v>
      </c>
    </row>
    <row r="10" spans="1:3" x14ac:dyDescent="0.25">
      <c r="A10" s="174" t="s">
        <v>193</v>
      </c>
      <c r="B10" s="149">
        <f>'Remuneração de capital'!F19</f>
        <v>308.36111111111109</v>
      </c>
      <c r="C10" s="175">
        <f t="shared" si="0"/>
        <v>1.2472218418348472E-2</v>
      </c>
    </row>
    <row r="11" spans="1:3" x14ac:dyDescent="0.25">
      <c r="A11" s="174" t="s">
        <v>194</v>
      </c>
      <c r="B11" s="149">
        <f>'Remuneração de capital'!F32</f>
        <v>837.5</v>
      </c>
      <c r="C11" s="177">
        <f t="shared" si="0"/>
        <v>3.3874190191262636E-2</v>
      </c>
    </row>
    <row r="12" spans="1:3" x14ac:dyDescent="0.25">
      <c r="A12" s="174" t="s">
        <v>195</v>
      </c>
      <c r="B12" s="149">
        <f>'Impostos e manutenção'!F10</f>
        <v>183.33333333333334</v>
      </c>
      <c r="C12" s="177">
        <f t="shared" si="0"/>
        <v>7.4152456140077413E-3</v>
      </c>
    </row>
    <row r="13" spans="1:3" x14ac:dyDescent="0.25">
      <c r="A13" s="174" t="s">
        <v>196</v>
      </c>
      <c r="B13" s="149">
        <f>'Impostos e manutenção'!F28</f>
        <v>4102.2449999999999</v>
      </c>
      <c r="C13" s="177">
        <f t="shared" si="0"/>
        <v>0.16592265951182827</v>
      </c>
    </row>
    <row r="14" spans="1:3" x14ac:dyDescent="0.25">
      <c r="A14" s="174" t="s">
        <v>197</v>
      </c>
      <c r="B14" s="149">
        <f>'Impostos e manutenção'!F33</f>
        <v>1447</v>
      </c>
      <c r="C14" s="177">
        <f t="shared" si="0"/>
        <v>5.8526511291650186E-2</v>
      </c>
    </row>
    <row r="15" spans="1:3" x14ac:dyDescent="0.25">
      <c r="A15" s="174" t="s">
        <v>198</v>
      </c>
      <c r="B15" s="149">
        <f>'Impostos e manutenção'!F42</f>
        <v>3530.68</v>
      </c>
      <c r="C15" s="177">
        <f t="shared" si="0"/>
        <v>0.14280468755162645</v>
      </c>
    </row>
    <row r="16" spans="1:3" x14ac:dyDescent="0.25">
      <c r="A16" s="172" t="s">
        <v>199</v>
      </c>
      <c r="B16" s="148">
        <f>BDI!F22</f>
        <v>4137.0329325259481</v>
      </c>
      <c r="C16" s="173">
        <f t="shared" si="0"/>
        <v>0.16732971986137427</v>
      </c>
    </row>
    <row r="17" spans="1:4" ht="15.75" thickBot="1" x14ac:dyDescent="0.3">
      <c r="A17" s="178" t="s">
        <v>200</v>
      </c>
      <c r="B17" s="179">
        <f>SUM(B3+B9+B16)</f>
        <v>24723.838275431932</v>
      </c>
      <c r="C17" s="180">
        <f>C3+C9+C16</f>
        <v>0.99999999999999989</v>
      </c>
    </row>
    <row r="20" spans="1:4" x14ac:dyDescent="0.25">
      <c r="A20" s="185" t="s">
        <v>219</v>
      </c>
      <c r="B20" s="186">
        <v>2894</v>
      </c>
    </row>
    <row r="21" spans="1:4" x14ac:dyDescent="0.25">
      <c r="A21" s="185" t="s">
        <v>218</v>
      </c>
      <c r="C21" s="189">
        <f>B17/B20</f>
        <v>8.5431369300041222</v>
      </c>
    </row>
    <row r="22" spans="1:4" x14ac:dyDescent="0.25">
      <c r="B22" s="127">
        <v>144.69999999999999</v>
      </c>
      <c r="C22" s="194">
        <v>200</v>
      </c>
      <c r="D22">
        <f>B22*C22</f>
        <v>28939.999999999996</v>
      </c>
    </row>
    <row r="24" spans="1:4" x14ac:dyDescent="0.25">
      <c r="B24" s="127" t="s">
        <v>223</v>
      </c>
      <c r="C24" s="3">
        <f>B20*C21</f>
        <v>24723.838275431928</v>
      </c>
    </row>
    <row r="25" spans="1:4" x14ac:dyDescent="0.25">
      <c r="B25" s="127" t="s">
        <v>224</v>
      </c>
      <c r="C25" s="3">
        <f>C21*D22</f>
        <v>247238.38275431926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CAGED</vt:lpstr>
      <vt:lpstr>Encargos</vt:lpstr>
      <vt:lpstr>Mão de obra</vt:lpstr>
      <vt:lpstr>Remuneração de capital</vt:lpstr>
      <vt:lpstr>Impostos e manutenção</vt:lpstr>
      <vt:lpstr>BDI</vt:lpstr>
      <vt:lpstr>Composição de custos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</dc:creator>
  <cp:lastModifiedBy>Leticia Frizon</cp:lastModifiedBy>
  <cp:lastPrinted>2026-01-20T13:08:50Z</cp:lastPrinted>
  <dcterms:created xsi:type="dcterms:W3CDTF">2020-01-13T18:06:35Z</dcterms:created>
  <dcterms:modified xsi:type="dcterms:W3CDTF">2026-01-22T14:31:46Z</dcterms:modified>
</cp:coreProperties>
</file>